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0" yWindow="480" windowWidth="15480" windowHeight="9060"/>
  </bookViews>
  <sheets>
    <sheet name="Thema" sheetId="2" r:id="rId1"/>
    <sheet name="Grafik" sheetId="3" r:id="rId2"/>
  </sheets>
  <calcPr calcId="145621"/>
</workbook>
</file>

<file path=xl/calcChain.xml><?xml version="1.0" encoding="utf-8"?>
<calcChain xmlns="http://schemas.openxmlformats.org/spreadsheetml/2006/main">
  <c r="I47" i="2" l="1"/>
  <c r="B76" i="2"/>
  <c r="B77" i="2"/>
  <c r="D38" i="2"/>
  <c r="D37" i="2"/>
  <c r="D36" i="2"/>
  <c r="D35" i="2"/>
  <c r="D34" i="2"/>
  <c r="D33" i="2"/>
  <c r="D32" i="2"/>
  <c r="D31" i="2"/>
  <c r="D30" i="2"/>
  <c r="C38" i="2"/>
  <c r="C37" i="2"/>
  <c r="C36" i="2"/>
  <c r="C35" i="2"/>
  <c r="C34" i="2"/>
  <c r="C33" i="2"/>
  <c r="C32" i="2"/>
  <c r="C31" i="2"/>
  <c r="C30" i="2"/>
  <c r="B38" i="2" l="1"/>
  <c r="B37" i="2"/>
  <c r="B36" i="2"/>
  <c r="B35" i="2"/>
  <c r="B34" i="2"/>
  <c r="B33" i="2"/>
  <c r="B32" i="2"/>
  <c r="B31" i="2"/>
  <c r="B30" i="2"/>
  <c r="F38" i="2" l="1"/>
  <c r="F37" i="2"/>
  <c r="F36" i="2"/>
  <c r="F35" i="2"/>
  <c r="F34" i="2"/>
  <c r="F33" i="2"/>
  <c r="F32" i="2"/>
  <c r="F31" i="2"/>
  <c r="F30" i="2"/>
  <c r="E38" i="2"/>
  <c r="E37" i="2"/>
  <c r="E36" i="2"/>
  <c r="E35" i="2"/>
  <c r="E34" i="2"/>
  <c r="E33" i="2"/>
  <c r="E32" i="2"/>
  <c r="E31" i="2"/>
  <c r="E30" i="2"/>
  <c r="H38" i="2"/>
  <c r="H37" i="2"/>
  <c r="H36" i="2"/>
  <c r="H35" i="2"/>
  <c r="H34" i="2"/>
  <c r="H33" i="2"/>
  <c r="G38" i="2"/>
  <c r="I38" i="2" s="1"/>
  <c r="G37" i="2"/>
  <c r="I37" i="2" s="1"/>
  <c r="G36" i="2"/>
  <c r="I36" i="2" s="1"/>
  <c r="G35" i="2"/>
  <c r="I35" i="2" s="1"/>
  <c r="G34" i="2"/>
  <c r="I34" i="2" s="1"/>
  <c r="G33" i="2"/>
  <c r="I33" i="2" s="1"/>
  <c r="J33" i="2" s="1"/>
  <c r="H32" i="2"/>
  <c r="H31" i="2"/>
  <c r="H30" i="2"/>
  <c r="G32" i="2"/>
  <c r="I32" i="2" s="1"/>
  <c r="G31" i="2"/>
  <c r="I31" i="2" s="1"/>
  <c r="G30" i="2"/>
  <c r="I30" i="2" s="1"/>
  <c r="E39" i="2" l="1"/>
  <c r="G39" i="2"/>
  <c r="J30" i="2"/>
  <c r="A30" i="2" s="1"/>
  <c r="J37" i="2"/>
  <c r="A37" i="2" s="1"/>
  <c r="J35" i="2"/>
  <c r="A35" i="2" s="1"/>
  <c r="A33" i="2"/>
  <c r="J31" i="2"/>
  <c r="A31" i="2" s="1"/>
  <c r="J38" i="2"/>
  <c r="A38" i="2" s="1"/>
  <c r="J36" i="2"/>
  <c r="A36" i="2" s="1"/>
  <c r="J34" i="2"/>
  <c r="A34" i="2" s="1"/>
  <c r="J32" i="2"/>
  <c r="A32" i="2" s="1"/>
  <c r="C45" i="2" l="1"/>
  <c r="D53" i="2"/>
  <c r="D51" i="2"/>
  <c r="D49" i="2"/>
  <c r="D47" i="2"/>
  <c r="D45" i="2"/>
  <c r="E45" i="2" s="1"/>
  <c r="C52" i="2"/>
  <c r="C50" i="2"/>
  <c r="C48" i="2"/>
  <c r="C46" i="2"/>
  <c r="D52" i="2"/>
  <c r="D50" i="2"/>
  <c r="D48" i="2"/>
  <c r="D46" i="2"/>
  <c r="C53" i="2"/>
  <c r="C51" i="2"/>
  <c r="E51" i="2" s="1"/>
  <c r="C49" i="2"/>
  <c r="C47" i="2"/>
  <c r="E47" i="2" s="1"/>
  <c r="B53" i="2"/>
  <c r="B51" i="2"/>
  <c r="B49" i="2"/>
  <c r="B47" i="2"/>
  <c r="B45" i="2"/>
  <c r="B52" i="2"/>
  <c r="B50" i="2"/>
  <c r="B48" i="2"/>
  <c r="B46" i="2"/>
  <c r="E49" i="2" l="1"/>
  <c r="E53" i="2"/>
  <c r="F45" i="2"/>
  <c r="G45" i="2"/>
  <c r="E48" i="2"/>
  <c r="E52" i="2"/>
  <c r="E46" i="2"/>
  <c r="E50" i="2"/>
  <c r="H45" i="2" l="1"/>
  <c r="I45" i="2" s="1"/>
  <c r="A45" i="2"/>
  <c r="G46" i="2"/>
  <c r="F47" i="2"/>
  <c r="F51" i="2"/>
  <c r="F48" i="2"/>
  <c r="F49" i="2"/>
  <c r="F46" i="2"/>
  <c r="F50" i="2"/>
  <c r="E54" i="2"/>
  <c r="F52" i="2"/>
  <c r="F53" i="2"/>
  <c r="H46" i="2" l="1"/>
  <c r="I46" i="2" s="1"/>
  <c r="A46" i="2"/>
  <c r="G47" i="2"/>
  <c r="H47" i="2" l="1"/>
  <c r="A47" i="2"/>
  <c r="G48" i="2"/>
  <c r="H48" i="2" l="1"/>
  <c r="A48" i="2"/>
  <c r="G49" i="2"/>
  <c r="I48" i="2" l="1"/>
  <c r="H49" i="2"/>
  <c r="I49" i="2" s="1"/>
  <c r="A49" i="2"/>
  <c r="G50" i="2"/>
  <c r="H50" i="2" l="1"/>
  <c r="I50" i="2" s="1"/>
  <c r="A50" i="2"/>
  <c r="G51" i="2"/>
  <c r="H51" i="2" l="1"/>
  <c r="A51" i="2"/>
  <c r="G52" i="2"/>
  <c r="I51" i="2" l="1"/>
  <c r="H52" i="2"/>
  <c r="I52" i="2" s="1"/>
  <c r="A52" i="2"/>
  <c r="G53" i="2"/>
  <c r="H53" i="2" l="1"/>
  <c r="A53" i="2"/>
  <c r="D60" i="2" s="1"/>
  <c r="D57" i="2" l="1"/>
  <c r="I53" i="2"/>
  <c r="G59" i="2" s="1"/>
</calcChain>
</file>

<file path=xl/sharedStrings.xml><?xml version="1.0" encoding="utf-8"?>
<sst xmlns="http://schemas.openxmlformats.org/spreadsheetml/2006/main" count="48" uniqueCount="43">
  <si>
    <t>© Controllinglexikon.de</t>
  </si>
  <si>
    <t>Eingabefelder</t>
  </si>
  <si>
    <t>Ausgabefelder</t>
  </si>
  <si>
    <t>Alle Angabe ohne Gewähr!</t>
  </si>
  <si>
    <t>Relative Deckungsbeitragsrechnung</t>
  </si>
  <si>
    <t>Relative Deckungsbeitragsrechnung bei einem Engpass</t>
  </si>
  <si>
    <t>Ausgangsdaten</t>
  </si>
  <si>
    <t>Erlös pro Stück</t>
  </si>
  <si>
    <t>variable Stückkosten</t>
  </si>
  <si>
    <t>maximale Absatzmenge [Stück]</t>
  </si>
  <si>
    <t>p</t>
  </si>
  <si>
    <t>kv</t>
  </si>
  <si>
    <t>db</t>
  </si>
  <si>
    <t>MZ[h]</t>
  </si>
  <si>
    <t>Rang</t>
  </si>
  <si>
    <t>db rel.</t>
  </si>
  <si>
    <t>erforderliche Maschinenbearbeitungszeit[h]</t>
  </si>
  <si>
    <t>A</t>
  </si>
  <si>
    <t>B</t>
  </si>
  <si>
    <t>C</t>
  </si>
  <si>
    <t>D</t>
  </si>
  <si>
    <t>E</t>
  </si>
  <si>
    <t>F</t>
  </si>
  <si>
    <t>G</t>
  </si>
  <si>
    <t>H</t>
  </si>
  <si>
    <t>I</t>
  </si>
  <si>
    <t>Maximale Maschinennutzung pro Monat [h]</t>
  </si>
  <si>
    <t>Gesamte Fixkosten</t>
  </si>
  <si>
    <r>
      <rPr>
        <i/>
        <sz val="11"/>
        <color theme="1"/>
        <rFont val="Calibri"/>
        <family val="2"/>
        <scheme val="minor"/>
      </rPr>
      <t>xm</t>
    </r>
    <r>
      <rPr>
        <sz val="11"/>
        <color theme="1"/>
        <rFont val="Calibri"/>
        <family val="2"/>
        <scheme val="minor"/>
      </rPr>
      <t>ax</t>
    </r>
  </si>
  <si>
    <t>Masch.-Kap.[h]</t>
  </si>
  <si>
    <t>Masch.-Kap.[kum]</t>
  </si>
  <si>
    <r>
      <rPr>
        <i/>
        <sz val="11"/>
        <color theme="1"/>
        <rFont val="Calibri"/>
        <family val="2"/>
        <scheme val="minor"/>
      </rPr>
      <t>x</t>
    </r>
    <r>
      <rPr>
        <sz val="11"/>
        <color theme="1"/>
        <rFont val="Calibri"/>
        <family val="2"/>
        <scheme val="minor"/>
      </rPr>
      <t>max</t>
    </r>
  </si>
  <si>
    <t>Masch.-Zeit[h]</t>
  </si>
  <si>
    <t>Restkapazität</t>
  </si>
  <si>
    <t>Optimales Produktionsprogramm</t>
  </si>
  <si>
    <t xml:space="preserve">Die Produktgruppe </t>
  </si>
  <si>
    <t xml:space="preserve">Die verbleibende Maschinenzeit lässt lediglich die Produktion von </t>
  </si>
  <si>
    <t xml:space="preserve"> Einheiten  </t>
  </si>
  <si>
    <t xml:space="preserve">der Gruppe </t>
  </si>
  <si>
    <t>zu. Nun ist die volle Auslastung der Kapazitäten erreicht.</t>
  </si>
  <si>
    <t>Entscheidung</t>
  </si>
  <si>
    <t>sowie die dieser rangmäßig unterliegenden Produktgruppen können nicht in vollem Maße produziert werden.</t>
  </si>
  <si>
    <t>Grafik fehlt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</si>
</sst>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9" x14ac:knownFonts="1">
    <font>
      <sz val="11"/>
      <color theme="1"/>
      <name val="Calibri"/>
      <family val="2"/>
      <scheme val="minor"/>
    </font>
    <font>
      <b/>
      <sz val="11"/>
      <color theme="1"/>
      <name val="Calibri"/>
      <family val="2"/>
      <scheme val="minor"/>
    </font>
    <font>
      <b/>
      <sz val="18"/>
      <color indexed="9"/>
      <name val="Arial"/>
      <family val="2"/>
    </font>
    <font>
      <sz val="8"/>
      <name val="Arial"/>
      <family val="2"/>
    </font>
    <font>
      <b/>
      <sz val="18"/>
      <name val="Arial"/>
      <family val="2"/>
    </font>
    <font>
      <b/>
      <sz val="11"/>
      <name val="Arial"/>
      <family val="2"/>
    </font>
    <font>
      <i/>
      <sz val="11"/>
      <color theme="1"/>
      <name val="Calibri"/>
      <family val="2"/>
      <scheme val="minor"/>
    </font>
    <font>
      <sz val="11"/>
      <color theme="0"/>
      <name val="Calibri"/>
      <family val="2"/>
      <scheme val="minor"/>
    </font>
    <font>
      <sz val="11"/>
      <color rgb="FFFF0000"/>
      <name val="Calibri"/>
      <family val="2"/>
      <scheme val="minor"/>
    </font>
  </fonts>
  <fills count="8">
    <fill>
      <patternFill patternType="none"/>
    </fill>
    <fill>
      <patternFill patternType="gray125"/>
    </fill>
    <fill>
      <patternFill patternType="solid">
        <fgColor rgb="FF006699"/>
        <bgColor indexed="64"/>
      </patternFill>
    </fill>
    <fill>
      <patternFill patternType="solid">
        <fgColor theme="0" tint="-0.24994659260841701"/>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0" fontId="2" fillId="2" borderId="0" xfId="0" applyFont="1" applyFill="1" applyProtection="1"/>
    <xf numFmtId="0" fontId="3" fillId="0" borderId="0" xfId="0" applyFont="1" applyProtection="1"/>
    <xf numFmtId="0" fontId="0" fillId="0" borderId="0" xfId="0" applyProtection="1"/>
    <xf numFmtId="10" fontId="3" fillId="3" borderId="0" xfId="0" applyNumberFormat="1" applyFont="1" applyFill="1" applyBorder="1" applyProtection="1"/>
    <xf numFmtId="0" fontId="3" fillId="4" borderId="0" xfId="0" applyFont="1" applyFill="1" applyBorder="1" applyProtection="1"/>
    <xf numFmtId="0" fontId="4" fillId="0" borderId="0" xfId="0" applyFont="1"/>
    <xf numFmtId="0" fontId="0" fillId="5" borderId="2" xfId="0" applyFill="1" applyBorder="1"/>
    <xf numFmtId="0" fontId="0" fillId="5" borderId="3" xfId="0" applyFill="1" applyBorder="1"/>
    <xf numFmtId="0" fontId="0" fillId="5" borderId="5" xfId="0" applyFill="1" applyBorder="1"/>
    <xf numFmtId="0" fontId="0" fillId="5" borderId="0" xfId="0" applyFill="1" applyBorder="1"/>
    <xf numFmtId="0" fontId="0" fillId="5" borderId="7" xfId="0" applyFill="1" applyBorder="1"/>
    <xf numFmtId="0" fontId="0" fillId="5" borderId="8" xfId="0" applyFill="1" applyBorder="1"/>
    <xf numFmtId="0" fontId="0" fillId="6" borderId="4" xfId="0" applyFill="1" applyBorder="1" applyAlignment="1">
      <alignment horizontal="center"/>
    </xf>
    <xf numFmtId="0" fontId="0" fillId="6" borderId="10" xfId="0" applyFill="1" applyBorder="1" applyAlignment="1">
      <alignment horizontal="center"/>
    </xf>
    <xf numFmtId="0" fontId="0" fillId="5" borderId="10" xfId="0" applyFill="1" applyBorder="1" applyAlignment="1">
      <alignment horizontal="center"/>
    </xf>
    <xf numFmtId="0" fontId="1" fillId="0" borderId="0" xfId="0" applyFont="1"/>
    <xf numFmtId="0" fontId="0" fillId="0" borderId="1" xfId="0" applyBorder="1" applyAlignment="1">
      <alignment horizontal="center"/>
    </xf>
    <xf numFmtId="0" fontId="0" fillId="5" borderId="1" xfId="0" applyFill="1" applyBorder="1" applyAlignment="1">
      <alignment horizontal="center"/>
    </xf>
    <xf numFmtId="0" fontId="0" fillId="0" borderId="1" xfId="0" applyBorder="1"/>
    <xf numFmtId="0" fontId="0" fillId="6" borderId="11" xfId="0" applyFill="1" applyBorder="1" applyAlignment="1">
      <alignment horizontal="center"/>
    </xf>
    <xf numFmtId="0" fontId="0" fillId="6" borderId="6" xfId="0" applyFill="1" applyBorder="1" applyAlignment="1">
      <alignment horizontal="center"/>
    </xf>
    <xf numFmtId="0" fontId="0" fillId="6" borderId="12" xfId="0" applyFill="1" applyBorder="1" applyAlignment="1">
      <alignment horizontal="center"/>
    </xf>
    <xf numFmtId="0" fontId="0" fillId="6" borderId="9" xfId="0" applyFill="1" applyBorder="1" applyAlignment="1">
      <alignment horizontal="center"/>
    </xf>
    <xf numFmtId="0" fontId="0" fillId="6" borderId="10" xfId="0" applyFill="1" applyBorder="1"/>
    <xf numFmtId="0" fontId="0" fillId="6" borderId="11" xfId="0" applyFill="1" applyBorder="1"/>
    <xf numFmtId="0" fontId="0" fillId="6" borderId="12" xfId="0" applyFill="1" applyBorder="1"/>
    <xf numFmtId="0" fontId="5" fillId="7" borderId="12" xfId="0" applyNumberFormat="1" applyFont="1" applyFill="1" applyBorder="1" applyAlignment="1">
      <alignment horizontal="center"/>
    </xf>
    <xf numFmtId="0" fontId="5" fillId="7" borderId="1" xfId="0" applyNumberFormat="1" applyFont="1" applyFill="1" applyBorder="1" applyAlignment="1">
      <alignment horizontal="center"/>
    </xf>
    <xf numFmtId="0" fontId="0" fillId="5" borderId="4" xfId="0" applyFill="1" applyBorder="1"/>
    <xf numFmtId="0" fontId="0" fillId="5" borderId="9" xfId="0" applyFill="1" applyBorder="1"/>
    <xf numFmtId="0" fontId="0" fillId="0" borderId="0" xfId="0" applyNumberFormat="1" applyAlignment="1">
      <alignment horizontal="center"/>
    </xf>
    <xf numFmtId="44" fontId="5" fillId="7" borderId="1" xfId="0" applyNumberFormat="1" applyFont="1" applyFill="1" applyBorder="1" applyAlignment="1"/>
    <xf numFmtId="44" fontId="5" fillId="7" borderId="12" xfId="0" applyNumberFormat="1" applyFont="1" applyFill="1" applyBorder="1" applyAlignment="1"/>
    <xf numFmtId="164" fontId="5" fillId="7" borderId="12" xfId="0" applyNumberFormat="1" applyFont="1" applyFill="1" applyBorder="1" applyAlignment="1">
      <alignment horizontal="center"/>
    </xf>
    <xf numFmtId="164" fontId="5" fillId="7" borderId="1" xfId="0" applyNumberFormat="1" applyFont="1" applyFill="1" applyBorder="1" applyAlignment="1">
      <alignment horizontal="center"/>
    </xf>
    <xf numFmtId="0" fontId="0" fillId="0" borderId="13" xfId="0" applyBorder="1"/>
    <xf numFmtId="0" fontId="0" fillId="0" borderId="14" xfId="0" applyBorder="1" applyAlignment="1">
      <alignment horizontal="center"/>
    </xf>
    <xf numFmtId="0" fontId="0" fillId="0" borderId="10" xfId="0" applyBorder="1"/>
    <xf numFmtId="0" fontId="0" fillId="0" borderId="0" xfId="0" applyBorder="1"/>
    <xf numFmtId="0" fontId="7" fillId="0" borderId="0" xfId="0" applyFont="1" applyBorder="1"/>
    <xf numFmtId="0" fontId="7" fillId="0" borderId="0" xfId="0" applyFont="1"/>
    <xf numFmtId="0" fontId="8"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390525</xdr:colOff>
      <xdr:row>0</xdr:row>
      <xdr:rowOff>276225</xdr:rowOff>
    </xdr:to>
    <xdr:pic>
      <xdr:nvPicPr>
        <xdr:cNvPr id="2"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4010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323850</xdr:colOff>
      <xdr:row>0</xdr:row>
      <xdr:rowOff>57150</xdr:rowOff>
    </xdr:from>
    <xdr:to>
      <xdr:col>8</xdr:col>
      <xdr:colOff>752475</xdr:colOff>
      <xdr:row>0</xdr:row>
      <xdr:rowOff>276225</xdr:rowOff>
    </xdr:to>
    <xdr:pic>
      <xdr:nvPicPr>
        <xdr:cNvPr id="3"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150"/>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7</xdr:row>
      <xdr:rowOff>9525</xdr:rowOff>
    </xdr:from>
    <xdr:to>
      <xdr:col>8</xdr:col>
      <xdr:colOff>57150</xdr:colOff>
      <xdr:row>11</xdr:row>
      <xdr:rowOff>180975</xdr:rowOff>
    </xdr:to>
    <xdr:sp macro="" textlink="">
      <xdr:nvSpPr>
        <xdr:cNvPr id="4" name="Textfeld 3"/>
        <xdr:cNvSpPr txBox="1"/>
      </xdr:nvSpPr>
      <xdr:spPr>
        <a:xfrm>
          <a:off x="742950" y="1657350"/>
          <a:ext cx="59817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Durch den relativen Deckungsbeitrag wird der Stückdeckungsbeitrag ins Verhältnis  mit einem bestimmten Engpassfaktor gestellt, beispielsweise der Produktionskapazität einer Maschine. Durch die daraus resultierenden relativen Deckungsbeiträge der verschiedenen Produkte, lassen sich diese vergleichen, woraufhin Entscheidungen bezüglich Produktionsprogramm getroffen werden können.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200025</xdr:colOff>
      <xdr:row>0</xdr:row>
      <xdr:rowOff>276225</xdr:rowOff>
    </xdr:to>
    <xdr:pic>
      <xdr:nvPicPr>
        <xdr:cNvPr id="2"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4010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323850</xdr:colOff>
      <xdr:row>0</xdr:row>
      <xdr:rowOff>57150</xdr:rowOff>
    </xdr:from>
    <xdr:to>
      <xdr:col>8</xdr:col>
      <xdr:colOff>752475</xdr:colOff>
      <xdr:row>0</xdr:row>
      <xdr:rowOff>276225</xdr:rowOff>
    </xdr:to>
    <xdr:pic>
      <xdr:nvPicPr>
        <xdr:cNvPr id="3"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150"/>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77"/>
  <sheetViews>
    <sheetView tabSelected="1" zoomScaleNormal="100" workbookViewId="0">
      <selection activeCell="F24" sqref="F24"/>
    </sheetView>
  </sheetViews>
  <sheetFormatPr baseColWidth="10" defaultRowHeight="15" x14ac:dyDescent="0.25"/>
  <cols>
    <col min="1" max="1" width="10.85546875" customWidth="1"/>
    <col min="3" max="3" width="13" customWidth="1"/>
    <col min="4" max="4" width="13.85546875" customWidth="1"/>
    <col min="5" max="5" width="16" customWidth="1"/>
    <col min="6" max="6" width="16.28515625" customWidth="1"/>
    <col min="7" max="7" width="12.42578125" customWidth="1"/>
    <col min="8" max="8" width="12" customWidth="1"/>
  </cols>
  <sheetData>
    <row r="1" spans="1:14" ht="23.25" x14ac:dyDescent="0.35">
      <c r="A1" s="1"/>
      <c r="B1" s="1"/>
      <c r="C1" s="1"/>
      <c r="D1" s="1"/>
      <c r="E1" s="1"/>
      <c r="F1" s="1"/>
      <c r="G1" s="1"/>
      <c r="H1" s="1"/>
      <c r="I1" s="1"/>
    </row>
    <row r="2" spans="1:14" ht="23.25" x14ac:dyDescent="0.35">
      <c r="A2" s="1"/>
      <c r="B2" s="1"/>
      <c r="C2" s="1"/>
      <c r="D2" s="1"/>
      <c r="E2" s="1"/>
      <c r="F2" s="1"/>
      <c r="G2" s="1"/>
      <c r="H2" s="1"/>
      <c r="I2" s="1"/>
    </row>
    <row r="3" spans="1:14" x14ac:dyDescent="0.25">
      <c r="A3" s="4" t="s">
        <v>1</v>
      </c>
      <c r="B3" s="5" t="s">
        <v>2</v>
      </c>
      <c r="C3" s="2"/>
      <c r="D3" s="2" t="s">
        <v>3</v>
      </c>
      <c r="E3" s="2"/>
      <c r="F3" s="2"/>
      <c r="G3" s="2"/>
      <c r="H3" s="2" t="s">
        <v>0</v>
      </c>
      <c r="I3" s="3"/>
    </row>
    <row r="6" spans="1:14" ht="23.25" x14ac:dyDescent="0.35">
      <c r="B6" s="6" t="s">
        <v>5</v>
      </c>
    </row>
    <row r="15" spans="1:14" x14ac:dyDescent="0.25">
      <c r="B15" s="16" t="s">
        <v>6</v>
      </c>
    </row>
    <row r="16" spans="1:14" x14ac:dyDescent="0.25">
      <c r="F16" s="14" t="s">
        <v>17</v>
      </c>
      <c r="G16" s="14" t="s">
        <v>18</v>
      </c>
      <c r="H16" s="14" t="s">
        <v>19</v>
      </c>
      <c r="I16" s="14" t="s">
        <v>20</v>
      </c>
      <c r="J16" s="14" t="s">
        <v>21</v>
      </c>
      <c r="K16" s="14" t="s">
        <v>22</v>
      </c>
      <c r="L16" s="14" t="s">
        <v>23</v>
      </c>
      <c r="M16" s="14" t="s">
        <v>24</v>
      </c>
      <c r="N16" s="14" t="s">
        <v>25</v>
      </c>
    </row>
    <row r="17" spans="1:14" x14ac:dyDescent="0.25">
      <c r="B17" s="7" t="s">
        <v>7</v>
      </c>
      <c r="C17" s="8"/>
      <c r="D17" s="8"/>
      <c r="E17" s="8"/>
      <c r="F17" s="14">
        <v>80</v>
      </c>
      <c r="G17" s="14">
        <v>65</v>
      </c>
      <c r="H17" s="13">
        <v>120</v>
      </c>
      <c r="I17" s="24">
        <v>200</v>
      </c>
      <c r="J17" s="14">
        <v>250</v>
      </c>
      <c r="K17" s="14">
        <v>50</v>
      </c>
      <c r="L17" s="14">
        <v>75</v>
      </c>
      <c r="M17" s="14">
        <v>90</v>
      </c>
      <c r="N17" s="13">
        <v>180</v>
      </c>
    </row>
    <row r="18" spans="1:14" x14ac:dyDescent="0.25">
      <c r="B18" s="9" t="s">
        <v>8</v>
      </c>
      <c r="C18" s="10"/>
      <c r="D18" s="10"/>
      <c r="E18" s="10"/>
      <c r="F18" s="20">
        <v>40</v>
      </c>
      <c r="G18" s="20">
        <v>25</v>
      </c>
      <c r="H18" s="21">
        <v>60</v>
      </c>
      <c r="I18" s="25">
        <v>80</v>
      </c>
      <c r="J18" s="20">
        <v>200</v>
      </c>
      <c r="K18" s="20">
        <v>20</v>
      </c>
      <c r="L18" s="20">
        <v>40</v>
      </c>
      <c r="M18" s="20">
        <v>55</v>
      </c>
      <c r="N18" s="21">
        <v>100</v>
      </c>
    </row>
    <row r="19" spans="1:14" x14ac:dyDescent="0.25">
      <c r="B19" s="9" t="s">
        <v>9</v>
      </c>
      <c r="C19" s="10"/>
      <c r="D19" s="10"/>
      <c r="E19" s="10"/>
      <c r="F19" s="20">
        <v>100</v>
      </c>
      <c r="G19" s="20">
        <v>400</v>
      </c>
      <c r="H19" s="21">
        <v>190</v>
      </c>
      <c r="I19" s="25">
        <v>250</v>
      </c>
      <c r="J19" s="20">
        <v>100</v>
      </c>
      <c r="K19" s="20">
        <v>300</v>
      </c>
      <c r="L19" s="20">
        <v>50</v>
      </c>
      <c r="M19" s="20">
        <v>150</v>
      </c>
      <c r="N19" s="21">
        <v>350</v>
      </c>
    </row>
    <row r="20" spans="1:14" x14ac:dyDescent="0.25">
      <c r="B20" s="11" t="s">
        <v>16</v>
      </c>
      <c r="C20" s="12"/>
      <c r="D20" s="12"/>
      <c r="E20" s="12"/>
      <c r="F20" s="22">
        <v>0.7</v>
      </c>
      <c r="G20" s="22">
        <v>1.3</v>
      </c>
      <c r="H20" s="23">
        <v>3</v>
      </c>
      <c r="I20" s="26">
        <v>2.2000000000000002</v>
      </c>
      <c r="J20" s="22">
        <v>2</v>
      </c>
      <c r="K20" s="22">
        <v>0.8</v>
      </c>
      <c r="L20" s="22">
        <v>1</v>
      </c>
      <c r="M20" s="22">
        <v>0.7</v>
      </c>
      <c r="N20" s="23">
        <v>1.7</v>
      </c>
    </row>
    <row r="23" spans="1:14" x14ac:dyDescent="0.25">
      <c r="B23" s="7" t="s">
        <v>26</v>
      </c>
      <c r="C23" s="8"/>
      <c r="D23" s="8"/>
      <c r="E23" s="29"/>
      <c r="F23" s="14">
        <v>2000</v>
      </c>
    </row>
    <row r="24" spans="1:14" x14ac:dyDescent="0.25">
      <c r="B24" s="11" t="s">
        <v>27</v>
      </c>
      <c r="C24" s="12"/>
      <c r="D24" s="12"/>
      <c r="E24" s="30"/>
      <c r="F24" s="22">
        <v>50000</v>
      </c>
    </row>
    <row r="28" spans="1:14" x14ac:dyDescent="0.25">
      <c r="A28" s="39"/>
    </row>
    <row r="29" spans="1:14" x14ac:dyDescent="0.25">
      <c r="A29" s="40"/>
      <c r="B29" s="19"/>
      <c r="C29" s="38" t="s">
        <v>31</v>
      </c>
      <c r="D29" s="38" t="s">
        <v>32</v>
      </c>
      <c r="E29" s="15" t="s">
        <v>10</v>
      </c>
      <c r="F29" s="18" t="s">
        <v>11</v>
      </c>
      <c r="G29" s="15" t="s">
        <v>12</v>
      </c>
      <c r="H29" s="18" t="s">
        <v>13</v>
      </c>
      <c r="I29" s="18" t="s">
        <v>15</v>
      </c>
      <c r="J29" s="18" t="s">
        <v>14</v>
      </c>
    </row>
    <row r="30" spans="1:14" x14ac:dyDescent="0.25">
      <c r="A30" s="41">
        <f t="shared" ref="A30:A38" si="0">J30</f>
        <v>1</v>
      </c>
      <c r="B30" s="28" t="str">
        <f>F16</f>
        <v>A</v>
      </c>
      <c r="C30" s="28">
        <f>F19</f>
        <v>100</v>
      </c>
      <c r="D30" s="28">
        <f>F20</f>
        <v>0.7</v>
      </c>
      <c r="E30" s="28">
        <f>F17</f>
        <v>80</v>
      </c>
      <c r="F30" s="28">
        <f>F18</f>
        <v>40</v>
      </c>
      <c r="G30" s="32">
        <f>F17-F18</f>
        <v>40</v>
      </c>
      <c r="H30" s="28">
        <f>F20</f>
        <v>0.7</v>
      </c>
      <c r="I30" s="34">
        <f>G30/F20</f>
        <v>57.142857142857146</v>
      </c>
      <c r="J30" s="27">
        <f t="shared" ref="J30:J38" si="1">_xlfn.RANK.EQ(I30,$I$30:$I$38,0)</f>
        <v>1</v>
      </c>
    </row>
    <row r="31" spans="1:14" x14ac:dyDescent="0.25">
      <c r="A31" s="41">
        <f t="shared" si="0"/>
        <v>7</v>
      </c>
      <c r="B31" s="28" t="str">
        <f>G16</f>
        <v>B</v>
      </c>
      <c r="C31" s="28">
        <f>G19</f>
        <v>400</v>
      </c>
      <c r="D31" s="28">
        <f>G20</f>
        <v>1.3</v>
      </c>
      <c r="E31" s="28">
        <f>G17</f>
        <v>65</v>
      </c>
      <c r="F31" s="28">
        <f>G18</f>
        <v>25</v>
      </c>
      <c r="G31" s="32">
        <f>G17-G18</f>
        <v>40</v>
      </c>
      <c r="H31" s="28">
        <f>G20</f>
        <v>1.3</v>
      </c>
      <c r="I31" s="34">
        <f>G31/G20</f>
        <v>30.769230769230766</v>
      </c>
      <c r="J31" s="27">
        <f t="shared" si="1"/>
        <v>7</v>
      </c>
    </row>
    <row r="32" spans="1:14" x14ac:dyDescent="0.25">
      <c r="A32" s="41">
        <f t="shared" si="0"/>
        <v>9</v>
      </c>
      <c r="B32" s="28" t="str">
        <f>H16</f>
        <v>C</v>
      </c>
      <c r="C32" s="28">
        <f>H19</f>
        <v>190</v>
      </c>
      <c r="D32" s="28">
        <f>H20</f>
        <v>3</v>
      </c>
      <c r="E32" s="28">
        <f>H17</f>
        <v>120</v>
      </c>
      <c r="F32" s="28">
        <f>H18</f>
        <v>60</v>
      </c>
      <c r="G32" s="33">
        <f>H17-H18</f>
        <v>60</v>
      </c>
      <c r="H32" s="28">
        <f>H20</f>
        <v>3</v>
      </c>
      <c r="I32" s="34">
        <f>G32/H20</f>
        <v>20</v>
      </c>
      <c r="J32" s="27">
        <f t="shared" si="1"/>
        <v>9</v>
      </c>
    </row>
    <row r="33" spans="1:10" x14ac:dyDescent="0.25">
      <c r="A33" s="41">
        <f t="shared" si="0"/>
        <v>2</v>
      </c>
      <c r="B33" s="28" t="str">
        <f>I16</f>
        <v>D</v>
      </c>
      <c r="C33" s="28">
        <f>I19</f>
        <v>250</v>
      </c>
      <c r="D33" s="28">
        <f>I20</f>
        <v>2.2000000000000002</v>
      </c>
      <c r="E33" s="28">
        <f>I17</f>
        <v>200</v>
      </c>
      <c r="F33" s="28">
        <f>I18</f>
        <v>80</v>
      </c>
      <c r="G33" s="32">
        <f>I17-I18</f>
        <v>120</v>
      </c>
      <c r="H33" s="28">
        <f>I20</f>
        <v>2.2000000000000002</v>
      </c>
      <c r="I33" s="35">
        <f>G33/I20</f>
        <v>54.54545454545454</v>
      </c>
      <c r="J33" s="27">
        <f t="shared" si="1"/>
        <v>2</v>
      </c>
    </row>
    <row r="34" spans="1:10" x14ac:dyDescent="0.25">
      <c r="A34" s="41">
        <f t="shared" si="0"/>
        <v>8</v>
      </c>
      <c r="B34" s="28" t="str">
        <f>J16</f>
        <v>E</v>
      </c>
      <c r="C34" s="28">
        <f>J19</f>
        <v>100</v>
      </c>
      <c r="D34" s="28">
        <f>J20</f>
        <v>2</v>
      </c>
      <c r="E34" s="28">
        <f>J17</f>
        <v>250</v>
      </c>
      <c r="F34" s="28">
        <f>J18</f>
        <v>200</v>
      </c>
      <c r="G34" s="32">
        <f>J17-J18</f>
        <v>50</v>
      </c>
      <c r="H34" s="28">
        <f>J20</f>
        <v>2</v>
      </c>
      <c r="I34" s="35">
        <f>G34/J20</f>
        <v>25</v>
      </c>
      <c r="J34" s="27">
        <f t="shared" si="1"/>
        <v>8</v>
      </c>
    </row>
    <row r="35" spans="1:10" x14ac:dyDescent="0.25">
      <c r="A35" s="41">
        <f t="shared" si="0"/>
        <v>5</v>
      </c>
      <c r="B35" s="28" t="str">
        <f>K16</f>
        <v>F</v>
      </c>
      <c r="C35" s="28">
        <f>K19</f>
        <v>300</v>
      </c>
      <c r="D35" s="28">
        <f>K20</f>
        <v>0.8</v>
      </c>
      <c r="E35" s="28">
        <f>K17</f>
        <v>50</v>
      </c>
      <c r="F35" s="28">
        <f>K18</f>
        <v>20</v>
      </c>
      <c r="G35" s="32">
        <f>K17-K18</f>
        <v>30</v>
      </c>
      <c r="H35" s="28">
        <f>K20</f>
        <v>0.8</v>
      </c>
      <c r="I35" s="35">
        <f>G35/K20</f>
        <v>37.5</v>
      </c>
      <c r="J35" s="27">
        <f t="shared" si="1"/>
        <v>5</v>
      </c>
    </row>
    <row r="36" spans="1:10" x14ac:dyDescent="0.25">
      <c r="A36" s="41">
        <f t="shared" si="0"/>
        <v>6</v>
      </c>
      <c r="B36" s="28" t="str">
        <f>L16</f>
        <v>G</v>
      </c>
      <c r="C36" s="28">
        <f>L19</f>
        <v>50</v>
      </c>
      <c r="D36" s="28">
        <f>L20</f>
        <v>1</v>
      </c>
      <c r="E36" s="28">
        <f>L17</f>
        <v>75</v>
      </c>
      <c r="F36" s="28">
        <f>L18</f>
        <v>40</v>
      </c>
      <c r="G36" s="32">
        <f>L17-L18</f>
        <v>35</v>
      </c>
      <c r="H36" s="28">
        <f>L20</f>
        <v>1</v>
      </c>
      <c r="I36" s="35">
        <f>G36/L20</f>
        <v>35</v>
      </c>
      <c r="J36" s="27">
        <f t="shared" si="1"/>
        <v>6</v>
      </c>
    </row>
    <row r="37" spans="1:10" x14ac:dyDescent="0.25">
      <c r="A37" s="41">
        <f t="shared" si="0"/>
        <v>3</v>
      </c>
      <c r="B37" s="28" t="str">
        <f>M16</f>
        <v>H</v>
      </c>
      <c r="C37" s="28">
        <f>M19</f>
        <v>150</v>
      </c>
      <c r="D37" s="28">
        <f>M20</f>
        <v>0.7</v>
      </c>
      <c r="E37" s="28">
        <f>M17</f>
        <v>90</v>
      </c>
      <c r="F37" s="28">
        <f>M18</f>
        <v>55</v>
      </c>
      <c r="G37" s="32">
        <f>M17-M18</f>
        <v>35</v>
      </c>
      <c r="H37" s="28">
        <f>M20</f>
        <v>0.7</v>
      </c>
      <c r="I37" s="35">
        <f>G37/M20</f>
        <v>50</v>
      </c>
      <c r="J37" s="27">
        <f t="shared" si="1"/>
        <v>3</v>
      </c>
    </row>
    <row r="38" spans="1:10" x14ac:dyDescent="0.25">
      <c r="A38" s="41">
        <f t="shared" si="0"/>
        <v>4</v>
      </c>
      <c r="B38" s="28" t="str">
        <f>N16</f>
        <v>I</v>
      </c>
      <c r="C38" s="28">
        <f>N19</f>
        <v>350</v>
      </c>
      <c r="D38" s="28">
        <f>N20</f>
        <v>1.7</v>
      </c>
      <c r="E38" s="28">
        <f>N17</f>
        <v>180</v>
      </c>
      <c r="F38" s="28">
        <f>N18</f>
        <v>100</v>
      </c>
      <c r="G38" s="32">
        <f>N17-N18</f>
        <v>80</v>
      </c>
      <c r="H38" s="28">
        <f>N20</f>
        <v>1.7</v>
      </c>
      <c r="I38" s="35">
        <f>G38/N20</f>
        <v>47.058823529411768</v>
      </c>
      <c r="J38" s="27">
        <f t="shared" si="1"/>
        <v>4</v>
      </c>
    </row>
    <row r="39" spans="1:10" x14ac:dyDescent="0.25">
      <c r="E39" s="32">
        <f>SUM(G30:G38)</f>
        <v>490</v>
      </c>
      <c r="G39" s="35">
        <f>SUM(I30:I38)</f>
        <v>357.01636598695421</v>
      </c>
    </row>
    <row r="42" spans="1:10" x14ac:dyDescent="0.25">
      <c r="B42" s="16" t="s">
        <v>34</v>
      </c>
    </row>
    <row r="44" spans="1:10" x14ac:dyDescent="0.25">
      <c r="B44" s="36"/>
      <c r="C44" s="37" t="s">
        <v>28</v>
      </c>
      <c r="D44" s="37" t="s">
        <v>32</v>
      </c>
      <c r="E44" s="37" t="s">
        <v>29</v>
      </c>
      <c r="F44" s="37" t="s">
        <v>30</v>
      </c>
      <c r="G44" s="37" t="s">
        <v>33</v>
      </c>
      <c r="H44" s="17" t="s">
        <v>40</v>
      </c>
    </row>
    <row r="45" spans="1:10" x14ac:dyDescent="0.25">
      <c r="A45" s="41" t="str">
        <f t="shared" ref="A45:A53" si="2">IF(G45&lt;=0,"Stop","Herstellen")</f>
        <v>Herstellen</v>
      </c>
      <c r="B45" s="27" t="str">
        <f>VLOOKUP(1,$A$30:$I$38,2,FALSE)</f>
        <v>A</v>
      </c>
      <c r="C45" s="27">
        <f>VLOOKUP(1,$A$30:$I$38,3,FALSE)</f>
        <v>100</v>
      </c>
      <c r="D45" s="27">
        <f>VLOOKUP(1,$A$30:$I$38,4,FALSE)</f>
        <v>0.7</v>
      </c>
      <c r="E45" s="27">
        <f t="shared" ref="E45:E53" si="3">C45*D45</f>
        <v>70</v>
      </c>
      <c r="F45" s="27">
        <f>E45</f>
        <v>70</v>
      </c>
      <c r="G45" s="28">
        <f>F23-E45</f>
        <v>1930</v>
      </c>
      <c r="H45" s="28" t="str">
        <f>IF(G45&lt;=0,"Stop","Herstellen")</f>
        <v>Herstellen</v>
      </c>
      <c r="I45" s="41" t="str">
        <f>IF(H45="Stop",F23/D45,"")</f>
        <v/>
      </c>
    </row>
    <row r="46" spans="1:10" x14ac:dyDescent="0.25">
      <c r="A46" s="41" t="str">
        <f t="shared" si="2"/>
        <v>Herstellen</v>
      </c>
      <c r="B46" s="27" t="str">
        <f>VLOOKUP(2,$A$30:$I$38,2,FALSE)</f>
        <v>D</v>
      </c>
      <c r="C46" s="27">
        <f>VLOOKUP(2,$A$30:$I$38,3,FALSE)</f>
        <v>250</v>
      </c>
      <c r="D46" s="27">
        <f>VLOOKUP(2,$A$30:$I$38,4,FALSE)</f>
        <v>2.2000000000000002</v>
      </c>
      <c r="E46" s="28">
        <f t="shared" si="3"/>
        <v>550</v>
      </c>
      <c r="F46" s="28">
        <f>SUM(E45:E46)</f>
        <v>620</v>
      </c>
      <c r="G46" s="28">
        <f t="shared" ref="G46:G53" si="4">G45-E46</f>
        <v>1380</v>
      </c>
      <c r="H46" s="28" t="str">
        <f t="shared" ref="H46:H53" si="5">IF(G46&lt;=0,"Stop","Herstellen")</f>
        <v>Herstellen</v>
      </c>
      <c r="I46" s="41" t="str">
        <f>IF(H46="Stop",G45/D46,"")</f>
        <v/>
      </c>
    </row>
    <row r="47" spans="1:10" x14ac:dyDescent="0.25">
      <c r="A47" s="41" t="str">
        <f t="shared" si="2"/>
        <v>Herstellen</v>
      </c>
      <c r="B47" s="27" t="str">
        <f>VLOOKUP(3,$A$30:$I$38,2,FALSE)</f>
        <v>H</v>
      </c>
      <c r="C47" s="27">
        <f>VLOOKUP(3,$A$30:$I$38,3,FALSE)</f>
        <v>150</v>
      </c>
      <c r="D47" s="27">
        <f>VLOOKUP(3,$A$30:$I$38,4,FALSE)</f>
        <v>0.7</v>
      </c>
      <c r="E47" s="28">
        <f t="shared" si="3"/>
        <v>105</v>
      </c>
      <c r="F47" s="28">
        <f>SUM(E45:E47)</f>
        <v>725</v>
      </c>
      <c r="G47" s="28">
        <f t="shared" si="4"/>
        <v>1275</v>
      </c>
      <c r="H47" s="28" t="str">
        <f t="shared" si="5"/>
        <v>Herstellen</v>
      </c>
      <c r="I47" s="41" t="str">
        <f>IF(H470="Stop",G46/D47,"")</f>
        <v/>
      </c>
    </row>
    <row r="48" spans="1:10" x14ac:dyDescent="0.25">
      <c r="A48" s="41" t="str">
        <f t="shared" si="2"/>
        <v>Herstellen</v>
      </c>
      <c r="B48" s="27" t="str">
        <f>VLOOKUP(4,$A$30:$I$38,2,FALSE)</f>
        <v>I</v>
      </c>
      <c r="C48" s="27">
        <f>VLOOKUP(4,$A$30:$I$38,3,FALSE)</f>
        <v>350</v>
      </c>
      <c r="D48" s="27">
        <f>VLOOKUP(4,$A$30:$I$38,4,FALSE)</f>
        <v>1.7</v>
      </c>
      <c r="E48" s="28">
        <f t="shared" si="3"/>
        <v>595</v>
      </c>
      <c r="F48" s="28">
        <f>SUM(E45:E48)</f>
        <v>1320</v>
      </c>
      <c r="G48" s="28">
        <f t="shared" si="4"/>
        <v>680</v>
      </c>
      <c r="H48" s="28" t="str">
        <f t="shared" si="5"/>
        <v>Herstellen</v>
      </c>
      <c r="I48" s="41" t="str">
        <f t="shared" ref="I48:I53" si="6">IF(H48="Stop",G47/D48,"")</f>
        <v/>
      </c>
    </row>
    <row r="49" spans="1:9" x14ac:dyDescent="0.25">
      <c r="A49" s="41" t="str">
        <f t="shared" si="2"/>
        <v>Herstellen</v>
      </c>
      <c r="B49" s="27" t="str">
        <f>VLOOKUP(5,$A$30:$I$38,2,FALSE)</f>
        <v>F</v>
      </c>
      <c r="C49" s="27">
        <f>VLOOKUP(5,$A$30:$I$38,3,FALSE)</f>
        <v>300</v>
      </c>
      <c r="D49" s="27">
        <f>VLOOKUP(5,$A$30:$I$38,4,FALSE)</f>
        <v>0.8</v>
      </c>
      <c r="E49" s="28">
        <f t="shared" si="3"/>
        <v>240</v>
      </c>
      <c r="F49" s="28">
        <f>SUM(E45:E49)</f>
        <v>1560</v>
      </c>
      <c r="G49" s="28">
        <f t="shared" si="4"/>
        <v>440</v>
      </c>
      <c r="H49" s="28" t="str">
        <f t="shared" si="5"/>
        <v>Herstellen</v>
      </c>
      <c r="I49" s="41" t="str">
        <f t="shared" si="6"/>
        <v/>
      </c>
    </row>
    <row r="50" spans="1:9" x14ac:dyDescent="0.25">
      <c r="A50" s="41" t="str">
        <f t="shared" si="2"/>
        <v>Herstellen</v>
      </c>
      <c r="B50" s="27" t="str">
        <f>VLOOKUP(6,$A$30:$I$38,2,FALSE)</f>
        <v>G</v>
      </c>
      <c r="C50" s="27">
        <f>VLOOKUP(6,$A$30:$I$38,3,FALSE)</f>
        <v>50</v>
      </c>
      <c r="D50" s="27">
        <f>VLOOKUP(6,$A$30:$I$38,4,FALSE)</f>
        <v>1</v>
      </c>
      <c r="E50" s="28">
        <f t="shared" si="3"/>
        <v>50</v>
      </c>
      <c r="F50" s="28">
        <f>SUM(E45:E50)</f>
        <v>1610</v>
      </c>
      <c r="G50" s="28">
        <f t="shared" si="4"/>
        <v>390</v>
      </c>
      <c r="H50" s="28" t="str">
        <f t="shared" si="5"/>
        <v>Herstellen</v>
      </c>
      <c r="I50" s="41" t="str">
        <f t="shared" si="6"/>
        <v/>
      </c>
    </row>
    <row r="51" spans="1:9" x14ac:dyDescent="0.25">
      <c r="A51" s="41" t="str">
        <f t="shared" si="2"/>
        <v>Stop</v>
      </c>
      <c r="B51" s="27" t="str">
        <f>VLOOKUP(7,$A$30:$I$38,2,FALSE)</f>
        <v>B</v>
      </c>
      <c r="C51" s="27">
        <f>VLOOKUP(7,$A$30:$I$38,3,FALSE)</f>
        <v>400</v>
      </c>
      <c r="D51" s="27">
        <f>VLOOKUP(7,$A$30:$I$38,4,FALSE)</f>
        <v>1.3</v>
      </c>
      <c r="E51" s="28">
        <f t="shared" si="3"/>
        <v>520</v>
      </c>
      <c r="F51" s="28">
        <f>SUM(E45:E51)</f>
        <v>2130</v>
      </c>
      <c r="G51" s="28">
        <f t="shared" si="4"/>
        <v>-130</v>
      </c>
      <c r="H51" s="28" t="str">
        <f t="shared" si="5"/>
        <v>Stop</v>
      </c>
      <c r="I51" s="41">
        <f t="shared" si="6"/>
        <v>300</v>
      </c>
    </row>
    <row r="52" spans="1:9" x14ac:dyDescent="0.25">
      <c r="A52" s="41" t="str">
        <f t="shared" si="2"/>
        <v>Stop</v>
      </c>
      <c r="B52" s="27" t="str">
        <f>VLOOKUP(8,$A$30:$I$38,2,FALSE)</f>
        <v>E</v>
      </c>
      <c r="C52" s="27">
        <f>VLOOKUP(8,$A$30:$I$38,3,FALSE)</f>
        <v>100</v>
      </c>
      <c r="D52" s="27">
        <f>VLOOKUP(8,$A$30:$I$38,4,FALSE)</f>
        <v>2</v>
      </c>
      <c r="E52" s="28">
        <f t="shared" si="3"/>
        <v>200</v>
      </c>
      <c r="F52" s="28">
        <f>SUM(E45:E52)</f>
        <v>2330</v>
      </c>
      <c r="G52" s="28">
        <f t="shared" si="4"/>
        <v>-330</v>
      </c>
      <c r="H52" s="28" t="str">
        <f t="shared" si="5"/>
        <v>Stop</v>
      </c>
      <c r="I52" s="41">
        <f t="shared" si="6"/>
        <v>-65</v>
      </c>
    </row>
    <row r="53" spans="1:9" x14ac:dyDescent="0.25">
      <c r="A53" s="41" t="str">
        <f t="shared" si="2"/>
        <v>Stop</v>
      </c>
      <c r="B53" s="27" t="str">
        <f>VLOOKUP(9,$A$30:$I$38,2,FALSE)</f>
        <v>C</v>
      </c>
      <c r="C53" s="27">
        <f>VLOOKUP(9,$A$30:$I$38,3,FALSE)</f>
        <v>190</v>
      </c>
      <c r="D53" s="27">
        <f>VLOOKUP(9,$A$30:$I$38,4,FALSE)</f>
        <v>3</v>
      </c>
      <c r="E53" s="28">
        <f t="shared" si="3"/>
        <v>570</v>
      </c>
      <c r="F53" s="28">
        <f>SUM(E45:E53)</f>
        <v>2900</v>
      </c>
      <c r="G53" s="28">
        <f t="shared" si="4"/>
        <v>-900</v>
      </c>
      <c r="H53" s="28" t="str">
        <f t="shared" si="5"/>
        <v>Stop</v>
      </c>
      <c r="I53" s="41">
        <f t="shared" si="6"/>
        <v>-110</v>
      </c>
    </row>
    <row r="54" spans="1:9" x14ac:dyDescent="0.25">
      <c r="B54" s="31"/>
      <c r="C54" s="31"/>
      <c r="E54" s="28">
        <f>SUM(E45:E53)</f>
        <v>2900</v>
      </c>
    </row>
    <row r="57" spans="1:9" x14ac:dyDescent="0.25">
      <c r="B57" s="16" t="s">
        <v>35</v>
      </c>
      <c r="C57" s="16"/>
      <c r="D57" s="28" t="str">
        <f>VLOOKUP("Stop",$A$45:$G$53,2,FALSE)</f>
        <v>B</v>
      </c>
      <c r="E57" s="16"/>
      <c r="F57" s="16"/>
      <c r="G57" s="16"/>
      <c r="H57" s="16"/>
      <c r="I57" s="16"/>
    </row>
    <row r="58" spans="1:9" x14ac:dyDescent="0.25">
      <c r="B58" s="16" t="s">
        <v>41</v>
      </c>
      <c r="C58" s="16"/>
      <c r="D58" s="16"/>
      <c r="E58" s="16"/>
      <c r="F58" s="16"/>
      <c r="G58" s="16"/>
      <c r="H58" s="16"/>
      <c r="I58" s="16"/>
    </row>
    <row r="59" spans="1:9" x14ac:dyDescent="0.25">
      <c r="B59" s="16" t="s">
        <v>36</v>
      </c>
      <c r="G59" s="28">
        <f>VLOOKUP("Stop",H45:I53,2,FALSE)</f>
        <v>300</v>
      </c>
      <c r="H59" s="16" t="s">
        <v>37</v>
      </c>
    </row>
    <row r="60" spans="1:9" x14ac:dyDescent="0.25">
      <c r="B60" s="16" t="s">
        <v>38</v>
      </c>
      <c r="D60" s="28" t="str">
        <f>VLOOKUP("Stop",$A$45:$G$53,2,FALSE)</f>
        <v>B</v>
      </c>
      <c r="E60" s="16" t="s">
        <v>39</v>
      </c>
    </row>
    <row r="64" spans="1:9" x14ac:dyDescent="0.25">
      <c r="B64" s="16"/>
    </row>
    <row r="76" spans="2:2" x14ac:dyDescent="0.25">
      <c r="B76" t="str">
        <f>IF(H54="Stop",G54/D55,"")</f>
        <v/>
      </c>
    </row>
    <row r="77" spans="2:2" x14ac:dyDescent="0.25">
      <c r="B77" t="str">
        <f>IF(H55="Stop",G55/D56,"")</f>
        <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11"/>
  <sheetViews>
    <sheetView topLeftCell="A7" workbookViewId="0">
      <selection activeCell="C6" sqref="C6:C7"/>
    </sheetView>
  </sheetViews>
  <sheetFormatPr baseColWidth="10" defaultRowHeight="15" x14ac:dyDescent="0.25"/>
  <sheetData>
    <row r="1" spans="1:9" ht="23.25" x14ac:dyDescent="0.35">
      <c r="A1" s="1"/>
      <c r="B1" s="1"/>
      <c r="C1" s="1"/>
      <c r="D1" s="1"/>
      <c r="E1" s="1"/>
      <c r="F1" s="1"/>
      <c r="G1" s="1"/>
      <c r="H1" s="1"/>
      <c r="I1" s="1"/>
    </row>
    <row r="2" spans="1:9" ht="23.25" x14ac:dyDescent="0.35">
      <c r="A2" s="1"/>
      <c r="B2" s="1"/>
      <c r="C2" s="1"/>
      <c r="D2" s="1"/>
      <c r="E2" s="1"/>
      <c r="F2" s="1"/>
      <c r="G2" s="1"/>
      <c r="H2" s="1"/>
      <c r="I2" s="1"/>
    </row>
    <row r="3" spans="1:9" x14ac:dyDescent="0.25">
      <c r="A3" s="4" t="s">
        <v>1</v>
      </c>
      <c r="B3" s="5" t="s">
        <v>2</v>
      </c>
      <c r="C3" s="2"/>
      <c r="D3" s="2" t="s">
        <v>3</v>
      </c>
      <c r="E3" s="2"/>
      <c r="F3" s="2"/>
      <c r="G3" s="2"/>
      <c r="H3" s="2" t="s">
        <v>0</v>
      </c>
      <c r="I3" s="3"/>
    </row>
    <row r="6" spans="1:9" ht="23.25" x14ac:dyDescent="0.35">
      <c r="C6" s="6" t="s">
        <v>4</v>
      </c>
    </row>
    <row r="11" spans="1:9" x14ac:dyDescent="0.25">
      <c r="C11" s="42" t="s">
        <v>42</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Thema</vt:lpstr>
      <vt:lpstr>Grafik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Marek</dc:creator>
  <cp:lastModifiedBy>schulte</cp:lastModifiedBy>
  <dcterms:created xsi:type="dcterms:W3CDTF">2013-05-30T13:14:47Z</dcterms:created>
  <dcterms:modified xsi:type="dcterms:W3CDTF">2013-07-23T17:13:57Z</dcterms:modified>
</cp:coreProperties>
</file>