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65" windowHeight="11760" activeTab="3"/>
  </bookViews>
  <sheets>
    <sheet name="Tabelle1" sheetId="1" r:id="rId1"/>
    <sheet name="Tabelle2" sheetId="2" r:id="rId2"/>
    <sheet name="Tabelle3" sheetId="3" r:id="rId3"/>
    <sheet name="Tabelle1 (2)" sheetId="4" r:id="rId4"/>
  </sheets>
  <calcPr calcId="145621"/>
</workbook>
</file>

<file path=xl/calcChain.xml><?xml version="1.0" encoding="utf-8"?>
<calcChain xmlns="http://schemas.openxmlformats.org/spreadsheetml/2006/main">
  <c r="E65" i="4" l="1"/>
  <c r="K26" i="4" l="1"/>
  <c r="K28" i="4" s="1"/>
  <c r="J26" i="4"/>
  <c r="I26" i="4"/>
  <c r="I28" i="4" s="1"/>
  <c r="H26" i="4"/>
  <c r="H28" i="4" s="1"/>
  <c r="G26" i="4"/>
  <c r="G28" i="4" s="1"/>
  <c r="F26" i="4"/>
  <c r="E26" i="4"/>
  <c r="F33" i="4" l="1"/>
  <c r="F22" i="4" s="1"/>
  <c r="J33" i="4"/>
  <c r="J32" i="4" s="1"/>
  <c r="F28" i="4"/>
  <c r="K33" i="4"/>
  <c r="K32" i="4" s="1"/>
  <c r="G33" i="4"/>
  <c r="G22" i="4" s="1"/>
  <c r="J28" i="4"/>
  <c r="H33" i="4"/>
  <c r="E33" i="4"/>
  <c r="I33" i="4"/>
  <c r="E28" i="4"/>
  <c r="E26" i="1"/>
  <c r="K26" i="1"/>
  <c r="K28" i="1" s="1"/>
  <c r="J26" i="1"/>
  <c r="J28" i="1" s="1"/>
  <c r="I26" i="1"/>
  <c r="I28" i="1" s="1"/>
  <c r="H26" i="1"/>
  <c r="H28" i="1" s="1"/>
  <c r="G26" i="1"/>
  <c r="G28" i="1" s="1"/>
  <c r="F26" i="1"/>
  <c r="F28" i="1" s="1"/>
  <c r="G32" i="4" l="1"/>
  <c r="F32" i="4"/>
  <c r="J22" i="4"/>
  <c r="K22" i="4"/>
  <c r="G40" i="4" s="1"/>
  <c r="E22" i="4"/>
  <c r="E32" i="4"/>
  <c r="I22" i="4"/>
  <c r="I32" i="4"/>
  <c r="H22" i="4"/>
  <c r="H32" i="4"/>
  <c r="I42" i="4"/>
  <c r="E42" i="4"/>
  <c r="H41" i="4"/>
  <c r="K40" i="4"/>
  <c r="J39" i="4"/>
  <c r="F39" i="4"/>
  <c r="H42" i="4"/>
  <c r="K41" i="4"/>
  <c r="G41" i="4"/>
  <c r="J40" i="4"/>
  <c r="F40" i="4"/>
  <c r="I39" i="4"/>
  <c r="E39" i="4"/>
  <c r="K42" i="4"/>
  <c r="G42" i="4"/>
  <c r="J41" i="4"/>
  <c r="F41" i="4"/>
  <c r="I40" i="4"/>
  <c r="E40" i="4"/>
  <c r="H39" i="4"/>
  <c r="J42" i="4"/>
  <c r="F42" i="4"/>
  <c r="I41" i="4"/>
  <c r="E41" i="4"/>
  <c r="H40" i="4"/>
  <c r="K39" i="4"/>
  <c r="G39" i="4"/>
  <c r="G33" i="1"/>
  <c r="G22" i="1" s="1"/>
  <c r="E28" i="1"/>
  <c r="E33" i="1"/>
  <c r="E22" i="1" s="1"/>
  <c r="J33" i="1"/>
  <c r="J22" i="1" s="1"/>
  <c r="H33" i="1"/>
  <c r="H22" i="1" s="1"/>
  <c r="F33" i="1"/>
  <c r="F22" i="1" s="1"/>
  <c r="K33" i="1"/>
  <c r="K22" i="1" s="1"/>
  <c r="I33" i="1"/>
  <c r="I22" i="1" s="1"/>
  <c r="J49" i="4" l="1"/>
  <c r="H49" i="4"/>
  <c r="F49" i="4"/>
  <c r="K49" i="4"/>
  <c r="I49" i="4"/>
  <c r="G49" i="4"/>
  <c r="E49" i="4"/>
  <c r="H43" i="4"/>
  <c r="H44" i="4"/>
  <c r="G44" i="4"/>
  <c r="G43" i="4"/>
  <c r="E43" i="4"/>
  <c r="E44" i="4"/>
  <c r="E45" i="4" s="1"/>
  <c r="E47" i="4" s="1"/>
  <c r="F43" i="4"/>
  <c r="F44" i="4"/>
  <c r="K44" i="4"/>
  <c r="K43" i="4"/>
  <c r="I43" i="4"/>
  <c r="I44" i="4"/>
  <c r="J43" i="4"/>
  <c r="J44" i="4"/>
  <c r="K40" i="1"/>
  <c r="I40" i="1"/>
  <c r="G40" i="1"/>
  <c r="E40" i="1"/>
  <c r="J40" i="1"/>
  <c r="H40" i="1"/>
  <c r="F40" i="1"/>
  <c r="K42" i="1"/>
  <c r="I42" i="1"/>
  <c r="G42" i="1"/>
  <c r="J42" i="1"/>
  <c r="H42" i="1"/>
  <c r="F42" i="1"/>
  <c r="E42" i="1"/>
  <c r="K41" i="1"/>
  <c r="I41" i="1"/>
  <c r="G41" i="1"/>
  <c r="E41" i="1"/>
  <c r="J41" i="1"/>
  <c r="H41" i="1"/>
  <c r="F41" i="1"/>
  <c r="K39" i="1"/>
  <c r="I39" i="1"/>
  <c r="G39" i="1"/>
  <c r="E39" i="1"/>
  <c r="J39" i="1"/>
  <c r="H39" i="1"/>
  <c r="F39" i="1"/>
  <c r="E46" i="4" l="1"/>
  <c r="F45" i="4"/>
  <c r="G44" i="1"/>
  <c r="G43" i="1"/>
  <c r="K44" i="1"/>
  <c r="K43" i="1"/>
  <c r="F43" i="1"/>
  <c r="F44" i="1"/>
  <c r="J43" i="1"/>
  <c r="J44" i="1"/>
  <c r="E44" i="1"/>
  <c r="E45" i="1" s="1"/>
  <c r="E43" i="1"/>
  <c r="I44" i="1"/>
  <c r="I43" i="1"/>
  <c r="H43" i="1"/>
  <c r="H44" i="1"/>
  <c r="G45" i="4" l="1"/>
  <c r="F46" i="4"/>
  <c r="F45" i="1"/>
  <c r="E46" i="1"/>
  <c r="E48" i="1" s="1"/>
  <c r="H45" i="4" l="1"/>
  <c r="G46" i="4"/>
  <c r="E38" i="1"/>
  <c r="G45" i="1"/>
  <c r="F46" i="1"/>
  <c r="F48" i="1" s="1"/>
  <c r="F38" i="1" s="1"/>
  <c r="H46" i="4" l="1"/>
  <c r="I45" i="4"/>
  <c r="H45" i="1"/>
  <c r="G46" i="1"/>
  <c r="G48" i="1" s="1"/>
  <c r="G38" i="1" s="1"/>
  <c r="I46" i="4" l="1"/>
  <c r="J45" i="4"/>
  <c r="H47" i="4"/>
  <c r="I45" i="1"/>
  <c r="H46" i="1"/>
  <c r="H48" i="1" s="1"/>
  <c r="H38" i="1" s="1"/>
  <c r="K45" i="4" l="1"/>
  <c r="K46" i="4" s="1"/>
  <c r="J46" i="4"/>
  <c r="I47" i="4"/>
  <c r="H47" i="1"/>
  <c r="J45" i="1"/>
  <c r="I46" i="1"/>
  <c r="I48" i="1" s="1"/>
  <c r="I38" i="1" s="1"/>
  <c r="J47" i="4" l="1"/>
  <c r="F47" i="4"/>
  <c r="K47" i="4"/>
  <c r="K48" i="4" s="1"/>
  <c r="K38" i="4" s="1"/>
  <c r="G47" i="4"/>
  <c r="G48" i="4" s="1"/>
  <c r="G38" i="4" s="1"/>
  <c r="I47" i="1"/>
  <c r="E47" i="1"/>
  <c r="K45" i="1"/>
  <c r="K46" i="1" s="1"/>
  <c r="K48" i="1" s="1"/>
  <c r="K38" i="1" s="1"/>
  <c r="J46" i="1"/>
  <c r="J48" i="1" s="1"/>
  <c r="J38" i="1" s="1"/>
  <c r="F48" i="4" l="1"/>
  <c r="F38" i="4" s="1"/>
  <c r="J48" i="4"/>
  <c r="J38" i="4" s="1"/>
  <c r="E48" i="4"/>
  <c r="H48" i="4"/>
  <c r="H38" i="4" s="1"/>
  <c r="I48" i="4"/>
  <c r="I38" i="4" s="1"/>
  <c r="J47" i="1"/>
  <c r="F47" i="1"/>
  <c r="K47" i="1"/>
  <c r="G47" i="1"/>
  <c r="E38" i="4" l="1"/>
  <c r="F56" i="4"/>
  <c r="B65" i="4" s="1"/>
  <c r="H65" i="4" s="1"/>
</calcChain>
</file>

<file path=xl/sharedStrings.xml><?xml version="1.0" encoding="utf-8"?>
<sst xmlns="http://schemas.openxmlformats.org/spreadsheetml/2006/main" count="102" uniqueCount="56">
  <si>
    <t>Eingabefelder</t>
  </si>
  <si>
    <t>Ausgabefelder</t>
  </si>
  <si>
    <t>Alle Angabe ohne Gewähr!</t>
  </si>
  <si>
    <t>© Controllinglexikon.de</t>
  </si>
  <si>
    <t>Bearbeitungsdauer</t>
  </si>
  <si>
    <t>Plandeckungsbeitrag</t>
  </si>
  <si>
    <t>Maximaler Plandeckungsbeitrag</t>
  </si>
  <si>
    <t>Kapazitätsbedarf</t>
  </si>
  <si>
    <t>A</t>
  </si>
  <si>
    <t>B</t>
  </si>
  <si>
    <t>C</t>
  </si>
  <si>
    <t>D</t>
  </si>
  <si>
    <t>E</t>
  </si>
  <si>
    <t>F</t>
  </si>
  <si>
    <t>G</t>
  </si>
  <si>
    <t>Erlös pro Stück</t>
  </si>
  <si>
    <t>variable Stückkosten</t>
  </si>
  <si>
    <t xml:space="preserve">Bearbeitungshöchstmenge </t>
  </si>
  <si>
    <t>ME/Monat</t>
  </si>
  <si>
    <t>€/Monat</t>
  </si>
  <si>
    <t>Min/Monat</t>
  </si>
  <si>
    <t>Min/ME</t>
  </si>
  <si>
    <t>€/ME</t>
  </si>
  <si>
    <t>Absolute Deckungsbeitragsrechnung bei einem Engpass</t>
  </si>
  <si>
    <t>Rangfolge</t>
  </si>
  <si>
    <t>Rangfolge nach höchsten Plandeckungsbeitrag</t>
  </si>
  <si>
    <t>Gesamte Fixkosten</t>
  </si>
  <si>
    <t>Maximale Maschinennutzung pro Monat [min]</t>
  </si>
  <si>
    <t>Plan. DB</t>
  </si>
  <si>
    <t>Höchstmenge</t>
  </si>
  <si>
    <t>Max. Plan. DB</t>
  </si>
  <si>
    <t>Verbrauchte Zeit (kummuliert)</t>
  </si>
  <si>
    <t>Bearbeitungsdauer pro Stück</t>
  </si>
  <si>
    <t>Restkapazität</t>
  </si>
  <si>
    <t>Restmenge</t>
  </si>
  <si>
    <t>Optimaler Produktionsplan</t>
  </si>
  <si>
    <t>Angaben</t>
  </si>
  <si>
    <t>optimale Produktionsmenge</t>
  </si>
  <si>
    <t>optimale Produktionsreihenfolge</t>
  </si>
  <si>
    <t>Maximale Maschinennutzung</t>
  </si>
  <si>
    <t>[Min/Monat]</t>
  </si>
  <si>
    <t>[€/Monat]</t>
  </si>
  <si>
    <t>[€/ME]</t>
  </si>
  <si>
    <t>[ME/Monat]</t>
  </si>
  <si>
    <t>[Min/ME]</t>
  </si>
  <si>
    <t>[ME]</t>
  </si>
  <si>
    <t>[Min]</t>
  </si>
  <si>
    <t>Verbrauchte Zeit (kumuliert)</t>
  </si>
  <si>
    <t>Max. Plandeckungsbeitrag des optimalen Produktionsplans</t>
  </si>
  <si>
    <t>Gewinnabrechnung</t>
  </si>
  <si>
    <t>-</t>
  </si>
  <si>
    <t>=</t>
  </si>
  <si>
    <t>Max. Plandeckungsbeitrag   [€/Monat]</t>
  </si>
  <si>
    <t>Fixkosten   [€/Monat]</t>
  </si>
  <si>
    <t>Gewinn   [€/Monat]</t>
  </si>
  <si>
    <t>Verkaufspreis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</si>
</sst>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iral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 applyProtection="1"/>
    <xf numFmtId="0" fontId="2" fillId="0" borderId="0" xfId="0" applyFont="1" applyProtection="1"/>
    <xf numFmtId="0" fontId="0" fillId="0" borderId="0" xfId="0" applyProtection="1"/>
    <xf numFmtId="10" fontId="2" fillId="3" borderId="0" xfId="0" applyNumberFormat="1" applyFont="1" applyFill="1" applyBorder="1" applyProtection="1"/>
    <xf numFmtId="0" fontId="2" fillId="4" borderId="0" xfId="0" applyFont="1" applyFill="1" applyBorder="1" applyProtection="1"/>
    <xf numFmtId="0" fontId="0" fillId="0" borderId="0" xfId="0" applyBorder="1"/>
    <xf numFmtId="0" fontId="0" fillId="0" borderId="0" xfId="0"/>
    <xf numFmtId="0" fontId="0" fillId="0" borderId="5" xfId="0" applyBorder="1"/>
    <xf numFmtId="0" fontId="0" fillId="0" borderId="0" xfId="0"/>
    <xf numFmtId="0" fontId="3" fillId="0" borderId="0" xfId="0" applyFont="1"/>
    <xf numFmtId="0" fontId="4" fillId="0" borderId="0" xfId="0" applyFont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4" fillId="6" borderId="10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4" fillId="6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5" borderId="5" xfId="0" applyFont="1" applyFill="1" applyBorder="1"/>
    <xf numFmtId="0" fontId="4" fillId="5" borderId="0" xfId="0" applyFont="1" applyFill="1" applyBorder="1"/>
    <xf numFmtId="0" fontId="4" fillId="6" borderId="1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5" borderId="6" xfId="0" applyFont="1" applyFill="1" applyBorder="1"/>
    <xf numFmtId="0" fontId="4" fillId="6" borderId="1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15" xfId="0" applyFont="1" applyFill="1" applyBorder="1"/>
    <xf numFmtId="0" fontId="5" fillId="4" borderId="11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 applyProtection="1">
      <alignment horizontal="center"/>
    </xf>
    <xf numFmtId="0" fontId="4" fillId="0" borderId="15" xfId="0" applyFont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/>
    <xf numFmtId="0" fontId="4" fillId="0" borderId="1" xfId="0" applyFont="1" applyBorder="1"/>
    <xf numFmtId="0" fontId="7" fillId="4" borderId="1" xfId="0" applyFont="1" applyFill="1" applyBorder="1" applyAlignment="1" applyProtection="1">
      <alignment horizontal="center" vertical="center"/>
    </xf>
    <xf numFmtId="1" fontId="9" fillId="0" borderId="0" xfId="0" applyNumberFormat="1" applyFont="1"/>
    <xf numFmtId="0" fontId="4" fillId="5" borderId="16" xfId="0" applyFont="1" applyFill="1" applyBorder="1"/>
    <xf numFmtId="0" fontId="4" fillId="5" borderId="17" xfId="0" applyFont="1" applyFill="1" applyBorder="1"/>
    <xf numFmtId="1" fontId="7" fillId="4" borderId="12" xfId="0" applyNumberFormat="1" applyFont="1" applyFill="1" applyBorder="1" applyAlignment="1" applyProtection="1">
      <alignment horizontal="center" vertical="center"/>
    </xf>
    <xf numFmtId="1" fontId="5" fillId="4" borderId="19" xfId="0" applyNumberFormat="1" applyFont="1" applyFill="1" applyBorder="1" applyAlignment="1" applyProtection="1">
      <alignment horizontal="center" vertical="center"/>
    </xf>
    <xf numFmtId="0" fontId="0" fillId="5" borderId="5" xfId="0" applyFill="1" applyBorder="1"/>
    <xf numFmtId="0" fontId="0" fillId="5" borderId="8" xfId="0" applyFill="1" applyBorder="1"/>
    <xf numFmtId="0" fontId="0" fillId="5" borderId="20" xfId="0" applyFill="1" applyBorder="1"/>
    <xf numFmtId="0" fontId="0" fillId="5" borderId="23" xfId="0" applyFill="1" applyBorder="1"/>
    <xf numFmtId="0" fontId="8" fillId="5" borderId="0" xfId="0" applyFont="1" applyFill="1" applyBorder="1"/>
    <xf numFmtId="0" fontId="3" fillId="0" borderId="5" xfId="0" applyFont="1" applyBorder="1"/>
    <xf numFmtId="0" fontId="6" fillId="0" borderId="0" xfId="0" applyFont="1" applyBorder="1"/>
    <xf numFmtId="0" fontId="8" fillId="0" borderId="5" xfId="0" applyFont="1" applyBorder="1"/>
    <xf numFmtId="0" fontId="4" fillId="0" borderId="5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0" fillId="5" borderId="0" xfId="0" applyFill="1" applyBorder="1"/>
    <xf numFmtId="0" fontId="4" fillId="5" borderId="0" xfId="0" applyFont="1" applyFill="1" applyBorder="1" applyAlignment="1">
      <alignment horizontal="center"/>
    </xf>
    <xf numFmtId="0" fontId="4" fillId="5" borderId="0" xfId="0" quotePrefix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0" fillId="0" borderId="25" xfId="0" applyBorder="1"/>
    <xf numFmtId="0" fontId="0" fillId="0" borderId="27" xfId="0" applyBorder="1"/>
    <xf numFmtId="0" fontId="0" fillId="0" borderId="17" xfId="0" applyBorder="1" applyProtection="1"/>
    <xf numFmtId="10" fontId="2" fillId="3" borderId="17" xfId="0" applyNumberFormat="1" applyFont="1" applyFill="1" applyBorder="1" applyProtection="1"/>
    <xf numFmtId="0" fontId="2" fillId="4" borderId="17" xfId="0" applyFont="1" applyFill="1" applyBorder="1" applyProtection="1"/>
    <xf numFmtId="0" fontId="2" fillId="0" borderId="17" xfId="0" applyFont="1" applyBorder="1" applyProtection="1"/>
    <xf numFmtId="0" fontId="7" fillId="4" borderId="12" xfId="0" applyFont="1" applyFill="1" applyBorder="1" applyAlignment="1" applyProtection="1">
      <alignment horizontal="center" vertical="center"/>
    </xf>
    <xf numFmtId="0" fontId="8" fillId="0" borderId="28" xfId="0" applyFont="1" applyBorder="1"/>
    <xf numFmtId="0" fontId="4" fillId="0" borderId="23" xfId="0" applyFont="1" applyBorder="1"/>
    <xf numFmtId="0" fontId="4" fillId="0" borderId="29" xfId="0" applyFont="1" applyBorder="1"/>
    <xf numFmtId="0" fontId="0" fillId="0" borderId="30" xfId="0" applyBorder="1"/>
    <xf numFmtId="0" fontId="4" fillId="0" borderId="17" xfId="0" applyFont="1" applyBorder="1"/>
    <xf numFmtId="1" fontId="9" fillId="0" borderId="17" xfId="0" applyNumberFormat="1" applyFont="1" applyBorder="1"/>
    <xf numFmtId="1" fontId="9" fillId="0" borderId="27" xfId="0" applyNumberFormat="1" applyFont="1" applyBorder="1"/>
    <xf numFmtId="0" fontId="7" fillId="4" borderId="31" xfId="0" applyFont="1" applyFill="1" applyBorder="1" applyAlignment="1" applyProtection="1">
      <alignment horizontal="center" vertical="center"/>
    </xf>
    <xf numFmtId="1" fontId="5" fillId="4" borderId="32" xfId="0" applyNumberFormat="1" applyFont="1" applyFill="1" applyBorder="1" applyAlignment="1" applyProtection="1">
      <alignment horizontal="center" vertical="center"/>
    </xf>
    <xf numFmtId="1" fontId="5" fillId="4" borderId="33" xfId="0" applyNumberFormat="1" applyFont="1" applyFill="1" applyBorder="1" applyAlignment="1" applyProtection="1">
      <alignment horizontal="center" vertical="center"/>
    </xf>
    <xf numFmtId="1" fontId="7" fillId="4" borderId="34" xfId="0" applyNumberFormat="1" applyFont="1" applyFill="1" applyBorder="1" applyAlignment="1" applyProtection="1">
      <alignment horizontal="center" vertical="center"/>
    </xf>
    <xf numFmtId="1" fontId="7" fillId="4" borderId="19" xfId="0" applyNumberFormat="1" applyFont="1" applyFill="1" applyBorder="1" applyAlignment="1" applyProtection="1">
      <alignment horizontal="center" vertical="center"/>
    </xf>
    <xf numFmtId="1" fontId="7" fillId="4" borderId="33" xfId="0" applyNumberFormat="1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1" fontId="5" fillId="4" borderId="15" xfId="0" applyNumberFormat="1" applyFont="1" applyFill="1" applyBorder="1" applyAlignment="1" applyProtection="1">
      <alignment horizontal="center" vertical="center"/>
    </xf>
    <xf numFmtId="1" fontId="5" fillId="4" borderId="35" xfId="0" applyNumberFormat="1" applyFont="1" applyFill="1" applyBorder="1" applyAlignment="1" applyProtection="1">
      <alignment horizontal="center" vertical="center"/>
    </xf>
    <xf numFmtId="1" fontId="7" fillId="4" borderId="9" xfId="0" applyNumberFormat="1" applyFont="1" applyFill="1" applyBorder="1" applyAlignment="1" applyProtection="1">
      <alignment horizontal="center" vertical="center"/>
    </xf>
    <xf numFmtId="1" fontId="7" fillId="4" borderId="35" xfId="0" applyNumberFormat="1" applyFont="1" applyFill="1" applyBorder="1" applyAlignment="1" applyProtection="1">
      <alignment horizontal="center" vertical="center"/>
    </xf>
    <xf numFmtId="0" fontId="4" fillId="5" borderId="29" xfId="0" applyFont="1" applyFill="1" applyBorder="1"/>
    <xf numFmtId="0" fontId="4" fillId="5" borderId="25" xfId="0" applyFont="1" applyFill="1" applyBorder="1"/>
    <xf numFmtId="0" fontId="4" fillId="5" borderId="27" xfId="0" applyFont="1" applyFill="1" applyBorder="1"/>
    <xf numFmtId="0" fontId="4" fillId="0" borderId="16" xfId="0" applyFont="1" applyBorder="1"/>
    <xf numFmtId="0" fontId="4" fillId="6" borderId="19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0" borderId="27" xfId="0" applyFont="1" applyBorder="1"/>
    <xf numFmtId="0" fontId="8" fillId="5" borderId="17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9" fillId="0" borderId="17" xfId="0" applyFont="1" applyBorder="1" applyAlignment="1" applyProtection="1">
      <alignment horizontal="center" vertical="center"/>
      <protection hidden="1"/>
    </xf>
    <xf numFmtId="0" fontId="7" fillId="5" borderId="37" xfId="0" applyFont="1" applyFill="1" applyBorder="1"/>
    <xf numFmtId="0" fontId="7" fillId="5" borderId="20" xfId="0" applyFont="1" applyFill="1" applyBorder="1"/>
    <xf numFmtId="0" fontId="7" fillId="4" borderId="22" xfId="0" applyFont="1" applyFill="1" applyBorder="1" applyAlignment="1" applyProtection="1">
      <alignment horizontal="center"/>
    </xf>
    <xf numFmtId="0" fontId="7" fillId="4" borderId="39" xfId="0" applyFont="1" applyFill="1" applyBorder="1" applyAlignment="1" applyProtection="1">
      <alignment horizontal="center"/>
    </xf>
    <xf numFmtId="0" fontId="7" fillId="4" borderId="38" xfId="0" applyFont="1" applyFill="1" applyBorder="1" applyAlignment="1" applyProtection="1">
      <alignment horizontal="center"/>
    </xf>
    <xf numFmtId="0" fontId="7" fillId="5" borderId="21" xfId="0" applyFont="1" applyFill="1" applyBorder="1"/>
    <xf numFmtId="0" fontId="4" fillId="5" borderId="37" xfId="0" applyFont="1" applyFill="1" applyBorder="1"/>
    <xf numFmtId="0" fontId="0" fillId="5" borderId="29" xfId="0" applyFill="1" applyBorder="1"/>
    <xf numFmtId="0" fontId="0" fillId="5" borderId="25" xfId="0" applyFill="1" applyBorder="1"/>
    <xf numFmtId="0" fontId="4" fillId="5" borderId="25" xfId="0" applyFont="1" applyFill="1" applyBorder="1" applyAlignment="1">
      <alignment horizontal="center" vertical="center"/>
    </xf>
    <xf numFmtId="0" fontId="0" fillId="5" borderId="16" xfId="0" applyFill="1" applyBorder="1"/>
    <xf numFmtId="0" fontId="0" fillId="5" borderId="17" xfId="0" applyFill="1" applyBorder="1"/>
    <xf numFmtId="0" fontId="0" fillId="5" borderId="27" xfId="0" applyFill="1" applyBorder="1"/>
    <xf numFmtId="0" fontId="4" fillId="5" borderId="30" xfId="0" applyFont="1" applyFill="1" applyBorder="1"/>
    <xf numFmtId="0" fontId="4" fillId="5" borderId="40" xfId="0" applyFont="1" applyFill="1" applyBorder="1"/>
    <xf numFmtId="0" fontId="4" fillId="0" borderId="30" xfId="0" applyFont="1" applyBorder="1"/>
    <xf numFmtId="0" fontId="8" fillId="5" borderId="30" xfId="0" applyFont="1" applyFill="1" applyBorder="1"/>
    <xf numFmtId="0" fontId="8" fillId="5" borderId="42" xfId="0" applyFont="1" applyFill="1" applyBorder="1"/>
    <xf numFmtId="0" fontId="10" fillId="0" borderId="21" xfId="0" applyFont="1" applyBorder="1"/>
    <xf numFmtId="0" fontId="8" fillId="5" borderId="17" xfId="0" applyFont="1" applyFill="1" applyBorder="1"/>
    <xf numFmtId="0" fontId="8" fillId="5" borderId="23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16" xfId="0" applyFont="1" applyFill="1" applyBorder="1"/>
    <xf numFmtId="2" fontId="4" fillId="6" borderId="27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 vertical="center"/>
    </xf>
    <xf numFmtId="2" fontId="4" fillId="6" borderId="12" xfId="0" applyNumberFormat="1" applyFont="1" applyFill="1" applyBorder="1" applyAlignment="1">
      <alignment horizontal="center" vertical="center"/>
    </xf>
    <xf numFmtId="2" fontId="4" fillId="6" borderId="34" xfId="0" applyNumberFormat="1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2" fontId="4" fillId="6" borderId="11" xfId="0" applyNumberFormat="1" applyFont="1" applyFill="1" applyBorder="1" applyAlignment="1">
      <alignment horizontal="center" vertical="center"/>
    </xf>
    <xf numFmtId="2" fontId="4" fillId="6" borderId="26" xfId="0" applyNumberFormat="1" applyFont="1" applyFill="1" applyBorder="1" applyAlignment="1">
      <alignment horizontal="center" vertical="center"/>
    </xf>
    <xf numFmtId="2" fontId="5" fillId="4" borderId="15" xfId="0" applyNumberFormat="1" applyFont="1" applyFill="1" applyBorder="1" applyAlignment="1" applyProtection="1">
      <alignment horizontal="center"/>
    </xf>
    <xf numFmtId="2" fontId="5" fillId="4" borderId="1" xfId="0" applyNumberFormat="1" applyFont="1" applyFill="1" applyBorder="1" applyAlignment="1" applyProtection="1">
      <alignment horizontal="center"/>
    </xf>
    <xf numFmtId="2" fontId="5" fillId="4" borderId="32" xfId="0" applyNumberFormat="1" applyFont="1" applyFill="1" applyBorder="1" applyAlignment="1" applyProtection="1">
      <alignment horizontal="center"/>
    </xf>
    <xf numFmtId="2" fontId="5" fillId="4" borderId="14" xfId="0" applyNumberFormat="1" applyFont="1" applyFill="1" applyBorder="1" applyAlignment="1" applyProtection="1">
      <alignment horizontal="center"/>
    </xf>
    <xf numFmtId="2" fontId="5" fillId="4" borderId="15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2" fontId="5" fillId="4" borderId="32" xfId="0" applyNumberFormat="1" applyFont="1" applyFill="1" applyBorder="1" applyAlignment="1" applyProtection="1">
      <alignment horizontal="center" vertical="center"/>
    </xf>
    <xf numFmtId="2" fontId="7" fillId="4" borderId="21" xfId="0" applyNumberFormat="1" applyFont="1" applyFill="1" applyBorder="1" applyAlignment="1" applyProtection="1">
      <alignment horizontal="center" vertical="center"/>
    </xf>
    <xf numFmtId="2" fontId="5" fillId="4" borderId="19" xfId="0" applyNumberFormat="1" applyFont="1" applyFill="1" applyBorder="1" applyAlignment="1" applyProtection="1">
      <alignment horizontal="center" vertical="center"/>
    </xf>
    <xf numFmtId="2" fontId="7" fillId="4" borderId="19" xfId="0" applyNumberFormat="1" applyFont="1" applyFill="1" applyBorder="1" applyAlignment="1" applyProtection="1">
      <alignment horizontal="center" vertical="center"/>
    </xf>
    <xf numFmtId="1" fontId="4" fillId="6" borderId="4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838200</xdr:colOff>
      <xdr:row>0</xdr:row>
      <xdr:rowOff>276225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0100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</xdr:colOff>
      <xdr:row>9</xdr:row>
      <xdr:rowOff>107156</xdr:rowOff>
    </xdr:from>
    <xdr:to>
      <xdr:col>8</xdr:col>
      <xdr:colOff>976311</xdr:colOff>
      <xdr:row>12</xdr:row>
      <xdr:rowOff>178593</xdr:rowOff>
    </xdr:to>
    <xdr:sp macro="" textlink="">
      <xdr:nvSpPr>
        <xdr:cNvPr id="3" name="Textfeld 2"/>
        <xdr:cNvSpPr txBox="1"/>
      </xdr:nvSpPr>
      <xdr:spPr>
        <a:xfrm>
          <a:off x="11906" y="2250281"/>
          <a:ext cx="8560593" cy="631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" pitchFamily="34" charset="0"/>
              <a:cs typeface="Arial" pitchFamily="34" charset="0"/>
            </a:rPr>
            <a:t>Über die</a:t>
          </a:r>
          <a:r>
            <a:rPr lang="de-DE" sz="1100" baseline="0">
              <a:latin typeface="Arial" pitchFamily="34" charset="0"/>
              <a:cs typeface="Arial" pitchFamily="34" charset="0"/>
            </a:rPr>
            <a:t> absolute Deckungsbeitragsrechnung soll die optimale Produktionsreiihenfolge bestimmt werden.</a:t>
          </a:r>
        </a:p>
        <a:p>
          <a:r>
            <a:rPr lang="de-DE" sz="1100" baseline="0">
              <a:latin typeface="Arial" pitchFamily="34" charset="0"/>
              <a:cs typeface="Arial" pitchFamily="34" charset="0"/>
            </a:rPr>
            <a:t>Hierbei werden Produkte mit einem vergleichsweise hohen Deckungsbeitrag zu erst produziert, um eine schnell e Abdeckung der</a:t>
          </a:r>
        </a:p>
        <a:p>
          <a:r>
            <a:rPr lang="de-DE" sz="1100" baseline="0">
              <a:latin typeface="Arial" pitchFamily="34" charset="0"/>
              <a:cs typeface="Arial" pitchFamily="34" charset="0"/>
            </a:rPr>
            <a:t>Fix-Kosten gewährleisten zu können.</a:t>
          </a:r>
          <a:endParaRPr lang="de-DE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107156</xdr:colOff>
      <xdr:row>51</xdr:row>
      <xdr:rowOff>154781</xdr:rowOff>
    </xdr:from>
    <xdr:to>
      <xdr:col>7</xdr:col>
      <xdr:colOff>-1</xdr:colOff>
      <xdr:row>54</xdr:row>
      <xdr:rowOff>166687</xdr:rowOff>
    </xdr:to>
    <xdr:sp macro="" textlink="">
      <xdr:nvSpPr>
        <xdr:cNvPr id="4" name="Textfeld 3"/>
        <xdr:cNvSpPr txBox="1"/>
      </xdr:nvSpPr>
      <xdr:spPr>
        <a:xfrm>
          <a:off x="107156" y="10287000"/>
          <a:ext cx="6869906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" pitchFamily="34" charset="0"/>
              <a:cs typeface="Arial" pitchFamily="34" charset="0"/>
            </a:rPr>
            <a:t>Der optimale</a:t>
          </a:r>
          <a:r>
            <a:rPr lang="de-DE" sz="1100" baseline="0">
              <a:latin typeface="Arial" pitchFamily="34" charset="0"/>
              <a:cs typeface="Arial" pitchFamily="34" charset="0"/>
            </a:rPr>
            <a:t> Produktionsplan setzt sich aus den Höchstmengen und der </a:t>
          </a:r>
          <a:r>
            <a:rPr lang="de-DE" sz="1100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Restmenge nach</a:t>
          </a:r>
          <a:r>
            <a:rPr lang="de-DE" sz="1100" baseline="0">
              <a:latin typeface="Arial" pitchFamily="34" charset="0"/>
              <a:cs typeface="Arial" pitchFamily="34" charset="0"/>
            </a:rPr>
            <a:t>  </a:t>
          </a:r>
        </a:p>
        <a:p>
          <a:r>
            <a:rPr lang="de-DE" sz="1100" baseline="0">
              <a:latin typeface="Arial" pitchFamily="34" charset="0"/>
              <a:cs typeface="Arial" pitchFamily="34" charset="0"/>
            </a:rPr>
            <a:t>Engpassbelastung zusammen.  </a:t>
          </a:r>
          <a:endParaRPr lang="de-DE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678763</xdr:colOff>
      <xdr:row>1</xdr:row>
      <xdr:rowOff>119063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6060388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</xdr:colOff>
      <xdr:row>9</xdr:row>
      <xdr:rowOff>107156</xdr:rowOff>
    </xdr:from>
    <xdr:to>
      <xdr:col>8</xdr:col>
      <xdr:colOff>976311</xdr:colOff>
      <xdr:row>12</xdr:row>
      <xdr:rowOff>178593</xdr:rowOff>
    </xdr:to>
    <xdr:sp macro="" textlink="">
      <xdr:nvSpPr>
        <xdr:cNvPr id="3" name="Textfeld 2"/>
        <xdr:cNvSpPr txBox="1"/>
      </xdr:nvSpPr>
      <xdr:spPr>
        <a:xfrm>
          <a:off x="11906" y="2240756"/>
          <a:ext cx="9165430" cy="63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" pitchFamily="34" charset="0"/>
              <a:cs typeface="Arial" pitchFamily="34" charset="0"/>
            </a:rPr>
            <a:t>Über die</a:t>
          </a:r>
          <a:r>
            <a:rPr lang="de-DE" sz="1100" baseline="0">
              <a:latin typeface="Arial" pitchFamily="34" charset="0"/>
              <a:cs typeface="Arial" pitchFamily="34" charset="0"/>
            </a:rPr>
            <a:t> absolute Deckungsbeitragsrechnung soll die optimale Produktionsreiihenfolge bestimmt werden.</a:t>
          </a:r>
        </a:p>
        <a:p>
          <a:r>
            <a:rPr lang="de-DE" sz="1100" baseline="0">
              <a:latin typeface="Arial" pitchFamily="34" charset="0"/>
              <a:cs typeface="Arial" pitchFamily="34" charset="0"/>
            </a:rPr>
            <a:t>Hierbei werden Produkte mit einem vergleichsweise hohen Deckungsbeitrag zu erst produziert, um eine schnell e Abdeckung der</a:t>
          </a:r>
        </a:p>
        <a:p>
          <a:r>
            <a:rPr lang="de-DE" sz="1100" baseline="0">
              <a:latin typeface="Arial" pitchFamily="34" charset="0"/>
              <a:cs typeface="Arial" pitchFamily="34" charset="0"/>
            </a:rPr>
            <a:t>Fix-Kosten gewährleisten zu können.</a:t>
          </a:r>
          <a:endParaRPr lang="de-DE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50</xdr:row>
      <xdr:rowOff>23810</xdr:rowOff>
    </xdr:from>
    <xdr:to>
      <xdr:col>11</xdr:col>
      <xdr:colOff>11906</xdr:colOff>
      <xdr:row>52</xdr:row>
      <xdr:rowOff>119063</xdr:rowOff>
    </xdr:to>
    <xdr:sp macro="" textlink="">
      <xdr:nvSpPr>
        <xdr:cNvPr id="4" name="Textfeld 3"/>
        <xdr:cNvSpPr txBox="1"/>
      </xdr:nvSpPr>
      <xdr:spPr>
        <a:xfrm>
          <a:off x="0" y="9977435"/>
          <a:ext cx="10953750" cy="476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>
              <a:latin typeface="Arial" pitchFamily="34" charset="0"/>
              <a:cs typeface="Arial" pitchFamily="34" charset="0"/>
            </a:rPr>
            <a:t>Die optimale Produktionsreihenfolge mit</a:t>
          </a:r>
          <a:r>
            <a:rPr lang="de-DE" sz="1100" baseline="0">
              <a:latin typeface="Arial" pitchFamily="34" charset="0"/>
              <a:cs typeface="Arial" pitchFamily="34" charset="0"/>
            </a:rPr>
            <a:t> der  dazu gehörigen Produktionsmenge kann  nun aus der Tabelle entnommen werden.</a:t>
          </a:r>
          <a:endParaRPr lang="de-DE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A16" zoomScale="80" zoomScaleNormal="80" workbookViewId="0">
      <selection activeCell="E48" sqref="E48"/>
    </sheetView>
  </sheetViews>
  <sheetFormatPr baseColWidth="10" defaultRowHeight="15"/>
  <cols>
    <col min="2" max="2" width="19.42578125" customWidth="1"/>
    <col min="4" max="4" width="16.7109375" customWidth="1"/>
    <col min="5" max="7" width="15.140625" bestFit="1" customWidth="1"/>
    <col min="8" max="8" width="18.5703125" bestFit="1" customWidth="1"/>
    <col min="9" max="9" width="15.140625" bestFit="1" customWidth="1"/>
    <col min="10" max="11" width="12.85546875" bestFit="1" customWidth="1"/>
    <col min="12" max="12" width="17" bestFit="1" customWidth="1"/>
  </cols>
  <sheetData>
    <row r="1" spans="1:11" ht="23.25">
      <c r="A1" s="1"/>
      <c r="B1" s="1"/>
      <c r="C1" s="1"/>
      <c r="D1" s="1"/>
      <c r="E1" s="1"/>
      <c r="F1" s="1"/>
      <c r="G1" s="1"/>
      <c r="H1" s="1"/>
      <c r="I1" s="1"/>
    </row>
    <row r="2" spans="1:11" ht="23.25">
      <c r="A2" s="1"/>
      <c r="B2" s="1"/>
      <c r="C2" s="1"/>
      <c r="D2" s="1"/>
      <c r="E2" s="1"/>
      <c r="F2" s="1"/>
      <c r="G2" s="1"/>
      <c r="H2" s="1"/>
      <c r="I2" s="1"/>
    </row>
    <row r="3" spans="1:11">
      <c r="A3" s="4" t="s">
        <v>0</v>
      </c>
      <c r="B3" s="5" t="s">
        <v>1</v>
      </c>
      <c r="C3" s="2"/>
      <c r="D3" s="2" t="s">
        <v>2</v>
      </c>
      <c r="E3" s="2"/>
      <c r="F3" s="2"/>
      <c r="G3" s="2"/>
      <c r="H3" s="2" t="s">
        <v>3</v>
      </c>
      <c r="I3" s="3"/>
    </row>
    <row r="6" spans="1:11" ht="23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9" customFormat="1" ht="23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9" customFormat="1">
      <c r="C8" s="11"/>
      <c r="D8" s="11"/>
      <c r="E8" s="11"/>
      <c r="F8" s="11"/>
      <c r="G8" s="11"/>
      <c r="H8" s="11"/>
      <c r="I8" s="11"/>
      <c r="J8" s="11"/>
      <c r="K8" s="11"/>
    </row>
    <row r="9" spans="1:11" s="9" customFormat="1">
      <c r="C9" s="11"/>
      <c r="D9" s="11"/>
      <c r="E9" s="11"/>
      <c r="F9" s="11"/>
      <c r="G9" s="11"/>
      <c r="H9" s="11"/>
      <c r="I9" s="11"/>
      <c r="J9" s="11"/>
      <c r="K9" s="11"/>
    </row>
    <row r="10" spans="1:11" s="9" customFormat="1">
      <c r="C10" s="11"/>
      <c r="D10" s="41"/>
      <c r="E10" s="11"/>
      <c r="F10" s="11"/>
      <c r="G10" s="11"/>
      <c r="H10" s="11"/>
      <c r="I10" s="11"/>
      <c r="J10" s="11"/>
      <c r="K10" s="11"/>
    </row>
    <row r="11" spans="1:11" s="9" customFormat="1">
      <c r="C11" s="11"/>
      <c r="E11" s="11"/>
      <c r="F11" s="11"/>
      <c r="G11" s="11"/>
      <c r="H11" s="11"/>
      <c r="I11" s="11"/>
      <c r="J11" s="11"/>
      <c r="K11" s="11"/>
    </row>
    <row r="12" spans="1:11" s="9" customFormat="1" ht="14.25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40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40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3" s="7" customFormat="1">
      <c r="A18" s="12" t="s">
        <v>27</v>
      </c>
      <c r="B18" s="13"/>
      <c r="C18" s="13"/>
      <c r="D18" s="14"/>
      <c r="E18" s="15">
        <v>22000</v>
      </c>
      <c r="F18" s="11"/>
      <c r="G18" s="11"/>
      <c r="H18" s="11"/>
      <c r="I18" s="11"/>
      <c r="J18" s="11"/>
      <c r="K18" s="11"/>
    </row>
    <row r="19" spans="1:13" s="7" customFormat="1">
      <c r="A19" s="16" t="s">
        <v>26</v>
      </c>
      <c r="B19" s="17"/>
      <c r="C19" s="17"/>
      <c r="D19" s="18"/>
      <c r="E19" s="19">
        <v>50000</v>
      </c>
      <c r="F19" s="11"/>
      <c r="G19" s="11"/>
      <c r="H19" s="11"/>
      <c r="I19" s="11"/>
      <c r="J19" s="11"/>
      <c r="K19" s="11"/>
    </row>
    <row r="20" spans="1:13" s="7" customForma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3" s="7" customForma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3">
      <c r="A22" s="11"/>
      <c r="B22" s="11"/>
      <c r="C22" s="11"/>
      <c r="D22" s="11"/>
      <c r="E22" s="42">
        <f>E33:K33</f>
        <v>5</v>
      </c>
      <c r="F22" s="42">
        <f t="shared" ref="F22:K22" si="0">F33:L33</f>
        <v>4</v>
      </c>
      <c r="G22" s="42">
        <f t="shared" si="0"/>
        <v>2</v>
      </c>
      <c r="H22" s="42">
        <f t="shared" si="0"/>
        <v>6</v>
      </c>
      <c r="I22" s="42">
        <f t="shared" si="0"/>
        <v>7</v>
      </c>
      <c r="J22" s="42">
        <f t="shared" si="0"/>
        <v>1</v>
      </c>
      <c r="K22" s="42">
        <f t="shared" si="0"/>
        <v>3</v>
      </c>
    </row>
    <row r="23" spans="1:13">
      <c r="A23" s="11"/>
      <c r="B23" s="11"/>
      <c r="C23" s="11"/>
      <c r="D23" s="11"/>
      <c r="E23" s="20" t="s">
        <v>8</v>
      </c>
      <c r="F23" s="21" t="s">
        <v>9</v>
      </c>
      <c r="G23" s="22" t="s">
        <v>10</v>
      </c>
      <c r="H23" s="23" t="s">
        <v>11</v>
      </c>
      <c r="I23" s="23" t="s">
        <v>12</v>
      </c>
      <c r="J23" s="23" t="s">
        <v>13</v>
      </c>
      <c r="K23" s="23" t="s">
        <v>14</v>
      </c>
    </row>
    <row r="24" spans="1:13">
      <c r="A24" s="12" t="s">
        <v>15</v>
      </c>
      <c r="B24" s="13"/>
      <c r="C24" s="13"/>
      <c r="D24" s="13"/>
      <c r="E24" s="24">
        <v>40</v>
      </c>
      <c r="F24" s="24">
        <v>55</v>
      </c>
      <c r="G24" s="25">
        <v>75</v>
      </c>
      <c r="H24" s="24">
        <v>28</v>
      </c>
      <c r="I24" s="24">
        <v>14</v>
      </c>
      <c r="J24" s="24">
        <v>112</v>
      </c>
      <c r="K24" s="24">
        <v>50</v>
      </c>
    </row>
    <row r="25" spans="1:13">
      <c r="A25" s="26" t="s">
        <v>16</v>
      </c>
      <c r="B25" s="27"/>
      <c r="C25" s="27"/>
      <c r="D25" s="27"/>
      <c r="E25" s="28">
        <v>14</v>
      </c>
      <c r="F25" s="28">
        <v>25</v>
      </c>
      <c r="G25" s="29">
        <v>30</v>
      </c>
      <c r="H25" s="28">
        <v>5</v>
      </c>
      <c r="I25" s="28">
        <v>7</v>
      </c>
      <c r="J25" s="28">
        <v>40</v>
      </c>
      <c r="K25" s="28">
        <v>18</v>
      </c>
    </row>
    <row r="26" spans="1:13" s="7" customFormat="1">
      <c r="A26" s="11" t="s">
        <v>5</v>
      </c>
      <c r="B26" s="27"/>
      <c r="C26" s="27" t="s">
        <v>22</v>
      </c>
      <c r="D26" s="30"/>
      <c r="E26" s="37">
        <f t="shared" ref="E26:K26" si="1">E24-E25</f>
        <v>26</v>
      </c>
      <c r="F26" s="37">
        <f t="shared" si="1"/>
        <v>30</v>
      </c>
      <c r="G26" s="37">
        <f t="shared" si="1"/>
        <v>45</v>
      </c>
      <c r="H26" s="37">
        <f t="shared" si="1"/>
        <v>23</v>
      </c>
      <c r="I26" s="37">
        <f t="shared" si="1"/>
        <v>7</v>
      </c>
      <c r="J26" s="37">
        <f t="shared" si="1"/>
        <v>72</v>
      </c>
      <c r="K26" s="37">
        <f t="shared" si="1"/>
        <v>32</v>
      </c>
    </row>
    <row r="27" spans="1:13" s="7" customFormat="1">
      <c r="A27" s="26" t="s">
        <v>17</v>
      </c>
      <c r="B27" s="27"/>
      <c r="C27" s="27" t="s">
        <v>18</v>
      </c>
      <c r="D27" s="27"/>
      <c r="E27" s="28">
        <v>150</v>
      </c>
      <c r="F27" s="28">
        <v>430</v>
      </c>
      <c r="G27" s="28">
        <v>450</v>
      </c>
      <c r="H27" s="28">
        <v>600</v>
      </c>
      <c r="I27" s="28">
        <v>300</v>
      </c>
      <c r="J27" s="28">
        <v>500</v>
      </c>
      <c r="K27" s="28">
        <v>70</v>
      </c>
    </row>
    <row r="28" spans="1:13">
      <c r="A28" s="27" t="s">
        <v>6</v>
      </c>
      <c r="B28" s="27"/>
      <c r="C28" s="27" t="s">
        <v>19</v>
      </c>
      <c r="D28" s="27"/>
      <c r="E28" s="37">
        <f t="shared" ref="E28:K28" si="2">E26*E27</f>
        <v>3900</v>
      </c>
      <c r="F28" s="37">
        <f t="shared" si="2"/>
        <v>12900</v>
      </c>
      <c r="G28" s="38">
        <f t="shared" si="2"/>
        <v>20250</v>
      </c>
      <c r="H28" s="37">
        <f t="shared" si="2"/>
        <v>13800</v>
      </c>
      <c r="I28" s="37">
        <f t="shared" si="2"/>
        <v>2100</v>
      </c>
      <c r="J28" s="45">
        <f t="shared" si="2"/>
        <v>36000</v>
      </c>
      <c r="K28" s="37">
        <f t="shared" si="2"/>
        <v>2240</v>
      </c>
    </row>
    <row r="29" spans="1:13" s="7" customFormat="1">
      <c r="A29" s="27" t="s">
        <v>7</v>
      </c>
      <c r="B29" s="27"/>
      <c r="C29" s="27" t="s">
        <v>20</v>
      </c>
      <c r="D29" s="27"/>
      <c r="E29" s="28">
        <v>1000</v>
      </c>
      <c r="F29" s="28">
        <v>3600</v>
      </c>
      <c r="G29" s="29">
        <v>2500</v>
      </c>
      <c r="H29" s="28">
        <v>3200</v>
      </c>
      <c r="I29" s="28">
        <v>1200</v>
      </c>
      <c r="J29" s="28">
        <v>5000</v>
      </c>
      <c r="K29" s="28">
        <v>1100</v>
      </c>
    </row>
    <row r="30" spans="1:13">
      <c r="A30" s="16" t="s">
        <v>4</v>
      </c>
      <c r="B30" s="17"/>
      <c r="C30" s="17" t="s">
        <v>21</v>
      </c>
      <c r="D30" s="17"/>
      <c r="E30" s="31">
        <v>10</v>
      </c>
      <c r="F30" s="31">
        <v>8</v>
      </c>
      <c r="G30" s="32">
        <v>12</v>
      </c>
      <c r="H30" s="31">
        <v>20</v>
      </c>
      <c r="I30" s="31">
        <v>15</v>
      </c>
      <c r="J30" s="31">
        <v>26</v>
      </c>
      <c r="K30" s="31">
        <v>10</v>
      </c>
    </row>
    <row r="31" spans="1:1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33"/>
      <c r="L32" s="6"/>
      <c r="M32" s="7"/>
    </row>
    <row r="33" spans="1:12" s="7" customFormat="1">
      <c r="A33" s="34" t="s">
        <v>25</v>
      </c>
      <c r="B33" s="35"/>
      <c r="C33" s="35"/>
      <c r="D33" s="36"/>
      <c r="E33" s="39">
        <f>RANK(E26,$E$26:$K$26,0)</f>
        <v>5</v>
      </c>
      <c r="F33" s="39">
        <f t="shared" ref="F33:K33" si="3">RANK(F26,$E$26:$K$26,0)</f>
        <v>4</v>
      </c>
      <c r="G33" s="39">
        <f t="shared" si="3"/>
        <v>2</v>
      </c>
      <c r="H33" s="39">
        <f t="shared" si="3"/>
        <v>6</v>
      </c>
      <c r="I33" s="39">
        <f t="shared" si="3"/>
        <v>7</v>
      </c>
      <c r="J33" s="39">
        <f t="shared" si="3"/>
        <v>1</v>
      </c>
      <c r="K33" s="39">
        <f t="shared" si="3"/>
        <v>3</v>
      </c>
      <c r="L33" s="8"/>
    </row>
    <row r="34" spans="1:12" s="7" customForma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6"/>
    </row>
    <row r="35" spans="1:12" s="9" customForma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6"/>
    </row>
    <row r="36" spans="1:12" s="9" customForma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6"/>
    </row>
    <row r="37" spans="1:12" s="9" customFormat="1">
      <c r="A37" s="40" t="s">
        <v>35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6"/>
    </row>
    <row r="38" spans="1:12" s="9" customFormat="1">
      <c r="B38" s="11"/>
      <c r="C38" s="11"/>
      <c r="D38" s="11"/>
      <c r="E38" s="52">
        <f>E48:K48</f>
        <v>500</v>
      </c>
      <c r="F38" s="52" t="str">
        <f t="shared" ref="F38:K38" si="4">F48:L48</f>
        <v>Höchstmenge</v>
      </c>
      <c r="G38" s="52" t="str">
        <f t="shared" si="4"/>
        <v>Höchstmenge</v>
      </c>
      <c r="H38" s="52" t="str">
        <f t="shared" si="4"/>
        <v>Restmenge</v>
      </c>
      <c r="I38" s="52" t="str">
        <f t="shared" si="4"/>
        <v>Restmenge</v>
      </c>
      <c r="J38" s="52" t="str">
        <f t="shared" si="4"/>
        <v>Restmenge</v>
      </c>
      <c r="K38" s="52" t="str">
        <f t="shared" si="4"/>
        <v>Restmenge</v>
      </c>
      <c r="L38" s="6"/>
    </row>
    <row r="39" spans="1:12" s="9" customFormat="1">
      <c r="A39" s="12" t="s">
        <v>24</v>
      </c>
      <c r="B39" s="13"/>
      <c r="C39" s="13"/>
      <c r="D39" s="14"/>
      <c r="E39" s="51" t="str">
        <f>HLOOKUP(1,$E$22:$K$30,2,FALSE)</f>
        <v>F</v>
      </c>
      <c r="F39" s="51" t="str">
        <f>HLOOKUP(2,$E$22:$K$30,2,FALSE)</f>
        <v>C</v>
      </c>
      <c r="G39" s="51" t="str">
        <f>HLOOKUP(3,$E$22:$K$30,2,FALSE)</f>
        <v>G</v>
      </c>
      <c r="H39" s="51" t="str">
        <f>HLOOKUP(4,$E$22:$K$30,2,FALSE)</f>
        <v>B</v>
      </c>
      <c r="I39" s="51" t="str">
        <f>HLOOKUP(5,$E$22:$K$30,2,FALSE)</f>
        <v>A</v>
      </c>
      <c r="J39" s="51" t="str">
        <f>HLOOKUP(6,$E$22:$K$30,2,FALSE)</f>
        <v>D</v>
      </c>
      <c r="K39" s="51" t="str">
        <f>HLOOKUP(7,$E$22:$K$30,2,FALSE)</f>
        <v>E</v>
      </c>
      <c r="L39" s="6"/>
    </row>
    <row r="40" spans="1:12" s="9" customFormat="1">
      <c r="A40" s="26" t="s">
        <v>29</v>
      </c>
      <c r="B40" s="27"/>
      <c r="C40" s="27"/>
      <c r="D40" s="30"/>
      <c r="E40" s="43">
        <f>HLOOKUP(1,$E$22:$K$30,6,FALSE)</f>
        <v>500</v>
      </c>
      <c r="F40" s="43">
        <f>HLOOKUP(2,$E$22:$K$30,6,FALSE)</f>
        <v>450</v>
      </c>
      <c r="G40" s="43">
        <f>HLOOKUP(3,$E$22:$K$30,6,FALSE)</f>
        <v>70</v>
      </c>
      <c r="H40" s="43">
        <f>HLOOKUP(4,$E$22:$K$30,6,FALSE)</f>
        <v>430</v>
      </c>
      <c r="I40" s="43">
        <f>HLOOKUP(5,$E$22:$K$30,6,FALSE)</f>
        <v>150</v>
      </c>
      <c r="J40" s="43">
        <f>HLOOKUP(6,$E$22:$K$30,6,FALSE)</f>
        <v>600</v>
      </c>
      <c r="K40" s="43">
        <f>HLOOKUP(7,$E$22:$K$30,6,FALSE)</f>
        <v>300</v>
      </c>
      <c r="L40" s="6"/>
    </row>
    <row r="41" spans="1:12" s="9" customFormat="1">
      <c r="A41" s="26" t="s">
        <v>32</v>
      </c>
      <c r="B41" s="27"/>
      <c r="C41" s="27"/>
      <c r="D41" s="30"/>
      <c r="E41" s="43">
        <f>HLOOKUP(1,$E$22:$K$30,9,FALSE)</f>
        <v>26</v>
      </c>
      <c r="F41" s="43">
        <f>HLOOKUP(2,$E$22:$K$30,9,FALSE)</f>
        <v>12</v>
      </c>
      <c r="G41" s="43">
        <f>HLOOKUP(3,$E$22:$K$30,9,FALSE)</f>
        <v>10</v>
      </c>
      <c r="H41" s="43">
        <f>HLOOKUP(4,$E$22:$K$30,9,FALSE)</f>
        <v>8</v>
      </c>
      <c r="I41" s="43">
        <f>HLOOKUP(5,$E$22:$K$30,9,FALSE)</f>
        <v>10</v>
      </c>
      <c r="J41" s="43">
        <f>HLOOKUP(6,$E$22:$K$30,9,FALSE)</f>
        <v>20</v>
      </c>
      <c r="K41" s="43">
        <f>HLOOKUP(7,$E$22:$K$30,9,FALSE)</f>
        <v>15</v>
      </c>
      <c r="L41" s="6"/>
    </row>
    <row r="42" spans="1:12" s="9" customFormat="1">
      <c r="A42" s="26" t="s">
        <v>28</v>
      </c>
      <c r="B42" s="27"/>
      <c r="C42" s="27"/>
      <c r="D42" s="30"/>
      <c r="E42" s="43">
        <f>HLOOKUP(1,$E$22:$K$30,5,FALSE)</f>
        <v>72</v>
      </c>
      <c r="F42" s="43">
        <f>HLOOKUP(2,$E$22:$K$30,5,FALSE)</f>
        <v>45</v>
      </c>
      <c r="G42" s="43">
        <f>HLOOKUP(3,$E$22:$K$30,5,FALSE)</f>
        <v>32</v>
      </c>
      <c r="H42" s="43">
        <f>HLOOKUP(4,$E$22:$K$30,5,FALSE)</f>
        <v>30</v>
      </c>
      <c r="I42" s="43">
        <f>HLOOKUP(5,$E$22:$K$30,5,FALSE)</f>
        <v>26</v>
      </c>
      <c r="J42" s="43">
        <f>HLOOKUP(6,$E$22:$K$30,5,FALSE)</f>
        <v>23</v>
      </c>
      <c r="K42" s="43">
        <f>HLOOKUP(7,$E$22:$K$30,5,FALSE)</f>
        <v>7</v>
      </c>
      <c r="L42" s="6"/>
    </row>
    <row r="43" spans="1:12" s="9" customFormat="1">
      <c r="A43" s="26" t="s">
        <v>30</v>
      </c>
      <c r="B43" s="27"/>
      <c r="C43" s="27"/>
      <c r="D43" s="30"/>
      <c r="E43" s="43">
        <f t="shared" ref="E43:K43" si="5">E40*E42</f>
        <v>36000</v>
      </c>
      <c r="F43" s="43">
        <f t="shared" si="5"/>
        <v>20250</v>
      </c>
      <c r="G43" s="43">
        <f t="shared" si="5"/>
        <v>2240</v>
      </c>
      <c r="H43" s="43">
        <f t="shared" si="5"/>
        <v>12900</v>
      </c>
      <c r="I43" s="43">
        <f t="shared" si="5"/>
        <v>3900</v>
      </c>
      <c r="J43" s="43">
        <f t="shared" si="5"/>
        <v>13800</v>
      </c>
      <c r="K43" s="43">
        <f t="shared" si="5"/>
        <v>2100</v>
      </c>
      <c r="L43" s="6"/>
    </row>
    <row r="44" spans="1:12" s="9" customFormat="1">
      <c r="A44" s="26" t="s">
        <v>7</v>
      </c>
      <c r="B44" s="27"/>
      <c r="C44" s="27"/>
      <c r="D44" s="30"/>
      <c r="E44" s="43">
        <f t="shared" ref="E44:K44" si="6">E40*E41</f>
        <v>13000</v>
      </c>
      <c r="F44" s="43">
        <f t="shared" si="6"/>
        <v>5400</v>
      </c>
      <c r="G44" s="43">
        <f t="shared" si="6"/>
        <v>700</v>
      </c>
      <c r="H44" s="43">
        <f t="shared" si="6"/>
        <v>3440</v>
      </c>
      <c r="I44" s="43">
        <f t="shared" si="6"/>
        <v>1500</v>
      </c>
      <c r="J44" s="43">
        <f t="shared" si="6"/>
        <v>12000</v>
      </c>
      <c r="K44" s="43">
        <f t="shared" si="6"/>
        <v>4500</v>
      </c>
      <c r="L44" s="6"/>
    </row>
    <row r="45" spans="1:12" s="9" customFormat="1">
      <c r="A45" s="26" t="s">
        <v>31</v>
      </c>
      <c r="B45" s="27"/>
      <c r="C45" s="27"/>
      <c r="D45" s="30"/>
      <c r="E45" s="43">
        <f>IF(E44&lt;=$E$18,E40*E41)</f>
        <v>13000</v>
      </c>
      <c r="F45" s="43">
        <f>IF(E45+F44&lt;=$E$18,E45+F44,IF(NOT(E45+F44&lt;=$E$18),$E$18))</f>
        <v>18400</v>
      </c>
      <c r="G45" s="43">
        <f t="shared" ref="G45:K45" si="7">IF(F45+G44&lt;=$E$18,F45+G44,IF(NOT(F45+G44&lt;=$E$18),$E$18))</f>
        <v>19100</v>
      </c>
      <c r="H45" s="43">
        <f t="shared" si="7"/>
        <v>22000</v>
      </c>
      <c r="I45" s="43">
        <f t="shared" si="7"/>
        <v>22000</v>
      </c>
      <c r="J45" s="43">
        <f t="shared" si="7"/>
        <v>22000</v>
      </c>
      <c r="K45" s="43">
        <f t="shared" si="7"/>
        <v>22000</v>
      </c>
      <c r="L45" s="6"/>
    </row>
    <row r="46" spans="1:12" s="9" customFormat="1">
      <c r="A46" s="26" t="s">
        <v>33</v>
      </c>
      <c r="B46" s="27"/>
      <c r="C46" s="27"/>
      <c r="D46" s="30"/>
      <c r="E46" s="43">
        <f>IF(E45&gt;=$E$18,0,$E$18-E45)</f>
        <v>9000</v>
      </c>
      <c r="F46" s="43">
        <f t="shared" ref="F46:K46" si="8">IF(F45&gt;=$E$18,0,$E$18-F45)</f>
        <v>3600</v>
      </c>
      <c r="G46" s="43">
        <f t="shared" si="8"/>
        <v>2900</v>
      </c>
      <c r="H46" s="43">
        <f t="shared" si="8"/>
        <v>0</v>
      </c>
      <c r="I46" s="43">
        <f t="shared" si="8"/>
        <v>0</v>
      </c>
      <c r="J46" s="43">
        <f t="shared" si="8"/>
        <v>0</v>
      </c>
      <c r="K46" s="43">
        <f t="shared" si="8"/>
        <v>0</v>
      </c>
      <c r="L46" s="6"/>
    </row>
    <row r="47" spans="1:12" s="9" customFormat="1">
      <c r="A47" s="16" t="s">
        <v>34</v>
      </c>
      <c r="B47" s="17"/>
      <c r="C47" s="17"/>
      <c r="D47" s="18"/>
      <c r="E47" s="44" t="str">
        <f>IF(E46=I46,D46/E41,"0")</f>
        <v>0</v>
      </c>
      <c r="F47" s="44" t="str">
        <f t="shared" ref="F47:K47" si="9">IF(F46=J46,E46/F41,"0")</f>
        <v>0</v>
      </c>
      <c r="G47" s="44" t="str">
        <f t="shared" si="9"/>
        <v>0</v>
      </c>
      <c r="H47" s="44">
        <f t="shared" si="9"/>
        <v>362.5</v>
      </c>
      <c r="I47" s="44">
        <f t="shared" si="9"/>
        <v>0</v>
      </c>
      <c r="J47" s="44">
        <f t="shared" si="9"/>
        <v>0</v>
      </c>
      <c r="K47" s="44">
        <f t="shared" si="9"/>
        <v>0</v>
      </c>
      <c r="L47" s="6"/>
    </row>
    <row r="48" spans="1:12" s="9" customFormat="1">
      <c r="A48" s="47" t="s">
        <v>37</v>
      </c>
      <c r="B48" s="48"/>
      <c r="C48" s="48"/>
      <c r="D48" s="49"/>
      <c r="E48" s="50">
        <f>IF(E46&lt;=0,SUM($E$47:$K$47),E40)</f>
        <v>500</v>
      </c>
      <c r="F48" s="50" t="str">
        <f t="shared" ref="F48:K48" si="10">IF(F46&lt;=0,"Restmenge","Höchstmenge")</f>
        <v>Höchstmenge</v>
      </c>
      <c r="G48" s="50" t="str">
        <f t="shared" si="10"/>
        <v>Höchstmenge</v>
      </c>
      <c r="H48" s="50" t="str">
        <f t="shared" si="10"/>
        <v>Restmenge</v>
      </c>
      <c r="I48" s="50" t="str">
        <f t="shared" si="10"/>
        <v>Restmenge</v>
      </c>
      <c r="J48" s="50" t="str">
        <f t="shared" si="10"/>
        <v>Restmenge</v>
      </c>
      <c r="K48" s="46" t="str">
        <f t="shared" si="10"/>
        <v>Restmenge</v>
      </c>
      <c r="L48" s="6"/>
    </row>
    <row r="49" spans="1:16" s="9" customForma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6"/>
    </row>
    <row r="50" spans="1:16">
      <c r="A50" s="11"/>
      <c r="B50" s="40"/>
      <c r="C50" s="11"/>
      <c r="D50" s="11"/>
      <c r="E50" s="11"/>
      <c r="F50" s="11"/>
      <c r="G50" s="11"/>
      <c r="H50" s="11"/>
      <c r="I50" s="11"/>
      <c r="J50" s="11"/>
      <c r="K50" s="11"/>
      <c r="L50" s="7"/>
      <c r="M50" s="7"/>
    </row>
    <row r="51" spans="1:16">
      <c r="A51" s="9"/>
      <c r="B51" s="9"/>
      <c r="C51" s="9"/>
      <c r="D51" s="9"/>
      <c r="E51" s="11"/>
      <c r="F51" s="11"/>
      <c r="G51" s="11"/>
      <c r="H51" s="11"/>
      <c r="I51" s="11"/>
      <c r="J51" s="11"/>
      <c r="K51" s="11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11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6">
      <c r="A63" s="9"/>
      <c r="B63" s="9"/>
      <c r="C63" s="9"/>
      <c r="D63" s="9"/>
      <c r="E63" s="9"/>
      <c r="F63" s="9"/>
    </row>
    <row r="64" spans="1:16">
      <c r="A64" s="9"/>
      <c r="B64" s="9"/>
      <c r="C64" s="9"/>
      <c r="D64" s="9"/>
      <c r="E64" s="9"/>
      <c r="F64" s="9"/>
    </row>
    <row r="65" spans="1:6">
      <c r="A65" s="9"/>
      <c r="B65" s="9"/>
      <c r="C65" s="9"/>
      <c r="D65" s="9"/>
      <c r="E65" s="9"/>
      <c r="F65" s="9"/>
    </row>
    <row r="66" spans="1:6">
      <c r="A66" s="9"/>
      <c r="B66" s="9"/>
      <c r="C66" s="9"/>
      <c r="D66" s="9"/>
      <c r="E66" s="9"/>
      <c r="F66" s="9"/>
    </row>
    <row r="67" spans="1:6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A69" s="9"/>
      <c r="B69" s="9"/>
      <c r="C69" s="9"/>
      <c r="D69" s="9"/>
      <c r="E69" s="9"/>
      <c r="F69" s="9"/>
    </row>
    <row r="70" spans="1:6">
      <c r="A70" s="9"/>
      <c r="B70" s="9"/>
      <c r="C70" s="9"/>
      <c r="D70" s="9"/>
      <c r="E70" s="9"/>
      <c r="F70" s="9"/>
    </row>
    <row r="71" spans="1:6">
      <c r="A71" s="9"/>
      <c r="B71" s="9"/>
      <c r="C71" s="9"/>
      <c r="D71" s="9"/>
      <c r="E71" s="9"/>
      <c r="F71" s="9"/>
    </row>
    <row r="72" spans="1:6">
      <c r="A72" s="9"/>
      <c r="B72" s="9"/>
      <c r="C72" s="9"/>
      <c r="D72" s="9"/>
      <c r="E72" s="9"/>
      <c r="F72" s="9"/>
    </row>
    <row r="73" spans="1:6">
      <c r="A73" s="9"/>
      <c r="B73" s="9"/>
      <c r="C73" s="9"/>
      <c r="D73" s="9"/>
      <c r="E73" s="9"/>
      <c r="F73" s="9"/>
    </row>
    <row r="74" spans="1:6">
      <c r="A74" s="9"/>
      <c r="B74" s="9"/>
      <c r="C74" s="9"/>
      <c r="D74" s="9"/>
      <c r="E74" s="9"/>
      <c r="F74" s="9"/>
    </row>
    <row r="75" spans="1:6">
      <c r="A75" s="9"/>
      <c r="B75" s="9"/>
      <c r="C75" s="9"/>
      <c r="D75" s="9"/>
      <c r="E75" s="9"/>
      <c r="F75" s="9"/>
    </row>
    <row r="76" spans="1:6">
      <c r="A76" s="9"/>
      <c r="B76" s="9"/>
      <c r="C76" s="9"/>
      <c r="D76" s="9"/>
      <c r="E76" s="9"/>
      <c r="F76" s="9"/>
    </row>
    <row r="77" spans="1:6">
      <c r="A77" s="9"/>
      <c r="B77" s="9"/>
      <c r="C77" s="9"/>
      <c r="D77" s="9"/>
      <c r="E77" s="9"/>
      <c r="F77" s="9"/>
    </row>
    <row r="78" spans="1:6">
      <c r="A78" s="9"/>
      <c r="B78" s="9"/>
      <c r="C78" s="9"/>
      <c r="D78" s="9"/>
      <c r="E78" s="9"/>
      <c r="F78" s="9"/>
    </row>
    <row r="79" spans="1:6">
      <c r="A79" s="9"/>
      <c r="B79" s="9"/>
      <c r="C79" s="9"/>
      <c r="D79" s="9"/>
      <c r="E79" s="9"/>
      <c r="F79" s="9"/>
    </row>
    <row r="80" spans="1:6">
      <c r="A80" s="9"/>
      <c r="B80" s="9"/>
      <c r="C80" s="9"/>
      <c r="D80" s="9"/>
      <c r="E80" s="9"/>
      <c r="F80" s="9"/>
    </row>
    <row r="81" spans="1:6">
      <c r="A81" s="9"/>
      <c r="B81" s="9"/>
      <c r="C81" s="9"/>
      <c r="D81" s="9"/>
      <c r="E81" s="9"/>
      <c r="F81" s="9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tabSelected="1" zoomScale="80" zoomScaleNormal="80" workbookViewId="0">
      <selection activeCell="G35" sqref="G35"/>
    </sheetView>
  </sheetViews>
  <sheetFormatPr baseColWidth="10" defaultRowHeight="15"/>
  <cols>
    <col min="1" max="1" width="11.42578125" style="9"/>
    <col min="2" max="2" width="22.140625" style="9" customWidth="1"/>
    <col min="3" max="3" width="11.42578125" style="9"/>
    <col min="4" max="4" width="16.7109375" style="9" customWidth="1"/>
    <col min="5" max="7" width="15.140625" style="9" bestFit="1" customWidth="1"/>
    <col min="8" max="8" width="18.5703125" style="9" bestFit="1" customWidth="1"/>
    <col min="9" max="9" width="15.140625" style="9" bestFit="1" customWidth="1"/>
    <col min="10" max="11" width="12.85546875" style="9" bestFit="1" customWidth="1"/>
    <col min="12" max="12" width="17" style="9" bestFit="1" customWidth="1"/>
    <col min="13" max="16384" width="11.42578125" style="9"/>
  </cols>
  <sheetData>
    <row r="1" spans="1:12" ht="23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3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>
      <c r="A3" s="77" t="s">
        <v>0</v>
      </c>
      <c r="B3" s="78" t="s">
        <v>1</v>
      </c>
      <c r="C3" s="79"/>
      <c r="D3" s="79" t="s">
        <v>2</v>
      </c>
      <c r="E3" s="79"/>
      <c r="F3" s="79"/>
      <c r="G3" s="79"/>
      <c r="H3" s="79" t="s">
        <v>3</v>
      </c>
      <c r="I3" s="76"/>
      <c r="J3" s="72"/>
      <c r="K3" s="72"/>
      <c r="L3" s="72"/>
    </row>
    <row r="4" spans="1:12">
      <c r="A4" s="8"/>
      <c r="B4" s="6"/>
      <c r="C4" s="6"/>
      <c r="D4" s="6"/>
      <c r="E4" s="6"/>
      <c r="F4" s="6"/>
      <c r="G4" s="6"/>
      <c r="H4" s="6"/>
      <c r="I4" s="6"/>
      <c r="J4" s="6"/>
      <c r="K4" s="6"/>
      <c r="L4" s="74"/>
    </row>
    <row r="5" spans="1:1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74"/>
    </row>
    <row r="6" spans="1:12" ht="23.25">
      <c r="A6" s="6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74"/>
    </row>
    <row r="7" spans="1:12">
      <c r="B7" s="33"/>
      <c r="C7" s="33"/>
      <c r="D7" s="33"/>
      <c r="E7" s="33"/>
      <c r="F7" s="33"/>
      <c r="G7" s="33"/>
      <c r="H7" s="33"/>
      <c r="I7" s="33"/>
      <c r="J7" s="33"/>
      <c r="K7" s="33"/>
      <c r="L7" s="74"/>
    </row>
    <row r="8" spans="1:12">
      <c r="A8" s="8"/>
      <c r="B8" s="6"/>
      <c r="C8" s="33"/>
      <c r="D8" s="33"/>
      <c r="E8" s="33"/>
      <c r="F8" s="33"/>
      <c r="G8" s="33"/>
      <c r="H8" s="33"/>
      <c r="I8" s="33"/>
      <c r="J8" s="33"/>
      <c r="K8" s="33"/>
      <c r="L8" s="74"/>
    </row>
    <row r="9" spans="1:12">
      <c r="A9" s="8"/>
      <c r="B9" s="6"/>
      <c r="C9" s="33"/>
      <c r="D9" s="33"/>
      <c r="E9" s="33"/>
      <c r="F9" s="33"/>
      <c r="G9" s="33"/>
      <c r="H9" s="33"/>
      <c r="I9" s="33"/>
      <c r="J9" s="33"/>
      <c r="K9" s="33"/>
      <c r="L9" s="74"/>
    </row>
    <row r="10" spans="1:12">
      <c r="A10" s="8"/>
      <c r="B10" s="6"/>
      <c r="C10" s="33"/>
      <c r="D10" s="63"/>
      <c r="E10" s="33"/>
      <c r="F10" s="33"/>
      <c r="G10" s="33"/>
      <c r="H10" s="33"/>
      <c r="I10" s="33"/>
      <c r="J10" s="33"/>
      <c r="K10" s="33"/>
      <c r="L10" s="74"/>
    </row>
    <row r="11" spans="1:12">
      <c r="A11" s="8"/>
      <c r="B11" s="6"/>
      <c r="C11" s="33"/>
      <c r="D11" s="6"/>
      <c r="E11" s="33"/>
      <c r="F11" s="33"/>
      <c r="G11" s="33"/>
      <c r="H11" s="33"/>
      <c r="I11" s="33"/>
      <c r="J11" s="33"/>
      <c r="K11" s="33"/>
      <c r="L11" s="74"/>
    </row>
    <row r="12" spans="1:12" ht="14.25" customHeight="1">
      <c r="A12" s="6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74"/>
    </row>
    <row r="13" spans="1:12">
      <c r="A13" s="6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74"/>
    </row>
    <row r="14" spans="1:12">
      <c r="A14" s="6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74"/>
    </row>
    <row r="15" spans="1:12" ht="15.75" thickBot="1">
      <c r="A15" s="65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74"/>
    </row>
    <row r="16" spans="1:12">
      <c r="A16" s="81" t="s">
        <v>36</v>
      </c>
      <c r="B16" s="82"/>
      <c r="C16" s="82"/>
      <c r="D16" s="82"/>
      <c r="E16" s="83"/>
      <c r="F16" s="33"/>
      <c r="G16" s="33"/>
      <c r="H16" s="33"/>
      <c r="I16" s="33"/>
      <c r="J16" s="33"/>
      <c r="K16" s="33"/>
      <c r="L16" s="74"/>
    </row>
    <row r="17" spans="1:12" ht="15.75" thickBot="1">
      <c r="A17" s="128"/>
      <c r="B17" s="85"/>
      <c r="C17" s="85"/>
      <c r="D17" s="85"/>
      <c r="E17" s="107"/>
      <c r="F17" s="33"/>
      <c r="G17" s="33"/>
      <c r="H17" s="33"/>
      <c r="I17" s="33"/>
      <c r="J17" s="33"/>
      <c r="K17" s="33"/>
      <c r="L17" s="74"/>
    </row>
    <row r="18" spans="1:12">
      <c r="A18" s="127" t="s">
        <v>39</v>
      </c>
      <c r="B18" s="27"/>
      <c r="C18" s="27" t="s">
        <v>40</v>
      </c>
      <c r="D18" s="99"/>
      <c r="E18" s="154">
        <v>26000</v>
      </c>
      <c r="F18" s="33"/>
      <c r="G18" s="33"/>
      <c r="H18" s="33"/>
      <c r="I18" s="33"/>
      <c r="J18" s="33"/>
      <c r="K18" s="33"/>
      <c r="L18" s="74"/>
    </row>
    <row r="19" spans="1:12" ht="15.75" thickBot="1">
      <c r="A19" s="126" t="s">
        <v>26</v>
      </c>
      <c r="B19" s="54"/>
      <c r="C19" s="54" t="s">
        <v>41</v>
      </c>
      <c r="D19" s="101"/>
      <c r="E19" s="137">
        <v>50000</v>
      </c>
      <c r="F19" s="33"/>
      <c r="G19" s="33"/>
      <c r="H19" s="33"/>
      <c r="I19" s="33"/>
      <c r="J19" s="33"/>
      <c r="K19" s="33"/>
      <c r="L19" s="74"/>
    </row>
    <row r="20" spans="1:12">
      <c r="A20" s="65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74"/>
    </row>
    <row r="21" spans="1:12">
      <c r="A21" s="6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74"/>
    </row>
    <row r="22" spans="1:12" ht="15.75" thickBot="1">
      <c r="A22" s="65"/>
      <c r="B22" s="33"/>
      <c r="C22" s="33"/>
      <c r="D22" s="33"/>
      <c r="E22" s="112">
        <f>E33:K33</f>
        <v>5</v>
      </c>
      <c r="F22" s="112">
        <f t="shared" ref="F22:K22" si="0">F33:L33</f>
        <v>4</v>
      </c>
      <c r="G22" s="112">
        <f t="shared" si="0"/>
        <v>2</v>
      </c>
      <c r="H22" s="112">
        <f t="shared" si="0"/>
        <v>6</v>
      </c>
      <c r="I22" s="112">
        <f t="shared" si="0"/>
        <v>7</v>
      </c>
      <c r="J22" s="112">
        <f t="shared" si="0"/>
        <v>1</v>
      </c>
      <c r="K22" s="112">
        <f t="shared" si="0"/>
        <v>3</v>
      </c>
      <c r="L22" s="74"/>
    </row>
    <row r="23" spans="1:12" ht="15.75" thickBot="1">
      <c r="A23" s="102"/>
      <c r="B23" s="85"/>
      <c r="C23" s="85"/>
      <c r="D23" s="107"/>
      <c r="E23" s="108" t="s">
        <v>8</v>
      </c>
      <c r="F23" s="109" t="s">
        <v>9</v>
      </c>
      <c r="G23" s="110" t="s">
        <v>10</v>
      </c>
      <c r="H23" s="109" t="s">
        <v>11</v>
      </c>
      <c r="I23" s="109" t="s">
        <v>12</v>
      </c>
      <c r="J23" s="109" t="s">
        <v>13</v>
      </c>
      <c r="K23" s="111" t="s">
        <v>14</v>
      </c>
      <c r="L23" s="74"/>
    </row>
    <row r="24" spans="1:12">
      <c r="A24" s="26" t="s">
        <v>55</v>
      </c>
      <c r="B24" s="27"/>
      <c r="C24" s="27" t="s">
        <v>42</v>
      </c>
      <c r="D24" s="100"/>
      <c r="E24" s="138">
        <v>40</v>
      </c>
      <c r="F24" s="139">
        <v>55</v>
      </c>
      <c r="G24" s="138">
        <v>75</v>
      </c>
      <c r="H24" s="139">
        <v>28</v>
      </c>
      <c r="I24" s="139">
        <v>14</v>
      </c>
      <c r="J24" s="139">
        <v>112</v>
      </c>
      <c r="K24" s="140">
        <v>50</v>
      </c>
      <c r="L24" s="74"/>
    </row>
    <row r="25" spans="1:12">
      <c r="A25" s="26" t="s">
        <v>16</v>
      </c>
      <c r="B25" s="27"/>
      <c r="C25" s="27" t="s">
        <v>42</v>
      </c>
      <c r="D25" s="100"/>
      <c r="E25" s="141">
        <v>14</v>
      </c>
      <c r="F25" s="142">
        <v>25</v>
      </c>
      <c r="G25" s="141">
        <v>30</v>
      </c>
      <c r="H25" s="142">
        <v>5</v>
      </c>
      <c r="I25" s="142">
        <v>7</v>
      </c>
      <c r="J25" s="142">
        <v>40</v>
      </c>
      <c r="K25" s="143">
        <v>18</v>
      </c>
      <c r="L25" s="74"/>
    </row>
    <row r="26" spans="1:12">
      <c r="A26" s="65" t="s">
        <v>5</v>
      </c>
      <c r="B26" s="27"/>
      <c r="C26" s="27" t="s">
        <v>42</v>
      </c>
      <c r="D26" s="100"/>
      <c r="E26" s="144">
        <f t="shared" ref="E26:K26" si="1">E24-E25</f>
        <v>26</v>
      </c>
      <c r="F26" s="145">
        <f t="shared" si="1"/>
        <v>30</v>
      </c>
      <c r="G26" s="145">
        <f t="shared" si="1"/>
        <v>45</v>
      </c>
      <c r="H26" s="145">
        <f t="shared" si="1"/>
        <v>23</v>
      </c>
      <c r="I26" s="145">
        <f t="shared" si="1"/>
        <v>7</v>
      </c>
      <c r="J26" s="145">
        <f t="shared" si="1"/>
        <v>72</v>
      </c>
      <c r="K26" s="146">
        <f t="shared" si="1"/>
        <v>32</v>
      </c>
      <c r="L26" s="74"/>
    </row>
    <row r="27" spans="1:12">
      <c r="A27" s="26" t="s">
        <v>17</v>
      </c>
      <c r="B27" s="27"/>
      <c r="C27" s="27" t="s">
        <v>43</v>
      </c>
      <c r="D27" s="100"/>
      <c r="E27" s="29">
        <v>150</v>
      </c>
      <c r="F27" s="28">
        <v>430</v>
      </c>
      <c r="G27" s="28">
        <v>450</v>
      </c>
      <c r="H27" s="28">
        <v>600</v>
      </c>
      <c r="I27" s="28">
        <v>300</v>
      </c>
      <c r="J27" s="28">
        <v>500</v>
      </c>
      <c r="K27" s="105">
        <v>70</v>
      </c>
      <c r="L27" s="74"/>
    </row>
    <row r="28" spans="1:12">
      <c r="A28" s="26" t="s">
        <v>6</v>
      </c>
      <c r="B28" s="27"/>
      <c r="C28" s="27" t="s">
        <v>41</v>
      </c>
      <c r="D28" s="100"/>
      <c r="E28" s="144">
        <f t="shared" ref="E28:K28" si="2">E26*E27</f>
        <v>3900</v>
      </c>
      <c r="F28" s="145">
        <f t="shared" si="2"/>
        <v>12900</v>
      </c>
      <c r="G28" s="147">
        <f t="shared" si="2"/>
        <v>20250</v>
      </c>
      <c r="H28" s="145">
        <f t="shared" si="2"/>
        <v>13800</v>
      </c>
      <c r="I28" s="145">
        <f t="shared" si="2"/>
        <v>2100</v>
      </c>
      <c r="J28" s="145">
        <f t="shared" si="2"/>
        <v>36000</v>
      </c>
      <c r="K28" s="146">
        <f t="shared" si="2"/>
        <v>2240</v>
      </c>
      <c r="L28" s="74"/>
    </row>
    <row r="29" spans="1:12">
      <c r="A29" s="26" t="s">
        <v>7</v>
      </c>
      <c r="B29" s="27"/>
      <c r="C29" s="27" t="s">
        <v>40</v>
      </c>
      <c r="D29" s="100"/>
      <c r="E29" s="29">
        <v>1000</v>
      </c>
      <c r="F29" s="28">
        <v>3600</v>
      </c>
      <c r="G29" s="29">
        <v>2500</v>
      </c>
      <c r="H29" s="28">
        <v>3200</v>
      </c>
      <c r="I29" s="28">
        <v>1200</v>
      </c>
      <c r="J29" s="28">
        <v>5000</v>
      </c>
      <c r="K29" s="105">
        <v>1100</v>
      </c>
      <c r="L29" s="74"/>
    </row>
    <row r="30" spans="1:12" ht="15.75" thickBot="1">
      <c r="A30" s="53" t="s">
        <v>4</v>
      </c>
      <c r="B30" s="54"/>
      <c r="C30" s="54" t="s">
        <v>44</v>
      </c>
      <c r="D30" s="101"/>
      <c r="E30" s="104">
        <v>10</v>
      </c>
      <c r="F30" s="103">
        <v>8</v>
      </c>
      <c r="G30" s="104">
        <v>12</v>
      </c>
      <c r="H30" s="103">
        <v>20</v>
      </c>
      <c r="I30" s="103">
        <v>15</v>
      </c>
      <c r="J30" s="103">
        <v>26</v>
      </c>
      <c r="K30" s="106">
        <v>10</v>
      </c>
      <c r="L30" s="74"/>
    </row>
    <row r="31" spans="1:12">
      <c r="A31" s="6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74"/>
    </row>
    <row r="32" spans="1:12" ht="15.75" thickBot="1">
      <c r="A32" s="65"/>
      <c r="B32" s="33"/>
      <c r="C32" s="33"/>
      <c r="D32" s="33"/>
      <c r="E32" s="66">
        <f>E33:K33</f>
        <v>5</v>
      </c>
      <c r="F32" s="66">
        <f t="shared" ref="F32:K32" si="3">F33:L33</f>
        <v>4</v>
      </c>
      <c r="G32" s="66">
        <f t="shared" si="3"/>
        <v>2</v>
      </c>
      <c r="H32" s="66">
        <f t="shared" si="3"/>
        <v>6</v>
      </c>
      <c r="I32" s="66">
        <f t="shared" si="3"/>
        <v>7</v>
      </c>
      <c r="J32" s="66">
        <f t="shared" si="3"/>
        <v>1</v>
      </c>
      <c r="K32" s="66">
        <f t="shared" si="3"/>
        <v>3</v>
      </c>
      <c r="L32" s="74"/>
    </row>
    <row r="33" spans="1:12" ht="15.75" thickBot="1">
      <c r="A33" s="113" t="s">
        <v>25</v>
      </c>
      <c r="B33" s="114"/>
      <c r="C33" s="114"/>
      <c r="D33" s="118"/>
      <c r="E33" s="117">
        <f>RANK(E26,$E$26:$K$26,0)</f>
        <v>5</v>
      </c>
      <c r="F33" s="115">
        <f t="shared" ref="F33:K33" si="4">RANK(F26,$E$26:$K$26,0)</f>
        <v>4</v>
      </c>
      <c r="G33" s="115">
        <f t="shared" si="4"/>
        <v>2</v>
      </c>
      <c r="H33" s="115">
        <f t="shared" si="4"/>
        <v>6</v>
      </c>
      <c r="I33" s="115">
        <f t="shared" si="4"/>
        <v>7</v>
      </c>
      <c r="J33" s="115">
        <f t="shared" si="4"/>
        <v>1</v>
      </c>
      <c r="K33" s="116">
        <f t="shared" si="4"/>
        <v>3</v>
      </c>
      <c r="L33" s="74"/>
    </row>
    <row r="34" spans="1:12">
      <c r="A34" s="6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74"/>
    </row>
    <row r="35" spans="1:12">
      <c r="A35" s="65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74"/>
    </row>
    <row r="36" spans="1:12" ht="15.75" thickBot="1">
      <c r="A36" s="65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74"/>
    </row>
    <row r="37" spans="1:12">
      <c r="A37" s="81" t="s">
        <v>35</v>
      </c>
      <c r="B37" s="82"/>
      <c r="C37" s="82"/>
      <c r="D37" s="82"/>
      <c r="E37" s="82"/>
      <c r="F37" s="82"/>
      <c r="G37" s="82"/>
      <c r="H37" s="82"/>
      <c r="I37" s="82"/>
      <c r="J37" s="82"/>
      <c r="K37" s="83"/>
      <c r="L37" s="74"/>
    </row>
    <row r="38" spans="1:12" ht="15.75" thickBot="1">
      <c r="A38" s="84"/>
      <c r="B38" s="85"/>
      <c r="C38" s="85"/>
      <c r="D38" s="85"/>
      <c r="E38" s="86">
        <f t="shared" ref="E38:K38" si="5">E48:K48</f>
        <v>500</v>
      </c>
      <c r="F38" s="86">
        <f t="shared" si="5"/>
        <v>450</v>
      </c>
      <c r="G38" s="86">
        <f t="shared" si="5"/>
        <v>70</v>
      </c>
      <c r="H38" s="86">
        <f t="shared" si="5"/>
        <v>430</v>
      </c>
      <c r="I38" s="86">
        <f t="shared" si="5"/>
        <v>150</v>
      </c>
      <c r="J38" s="86">
        <f t="shared" si="5"/>
        <v>98</v>
      </c>
      <c r="K38" s="87">
        <f t="shared" si="5"/>
        <v>0</v>
      </c>
      <c r="L38" s="74"/>
    </row>
    <row r="39" spans="1:12">
      <c r="A39" s="26" t="s">
        <v>24</v>
      </c>
      <c r="B39" s="27"/>
      <c r="C39" s="27"/>
      <c r="D39" s="99"/>
      <c r="E39" s="94" t="str">
        <f>HLOOKUP(1,$E$22:$K$30,2,FALSE)</f>
        <v>F</v>
      </c>
      <c r="F39" s="80" t="str">
        <f>HLOOKUP(2,$E$22:$K$30,2,FALSE)</f>
        <v>C</v>
      </c>
      <c r="G39" s="80" t="str">
        <f>HLOOKUP(3,$E$22:$K$30,2,FALSE)</f>
        <v>G</v>
      </c>
      <c r="H39" s="80" t="str">
        <f>HLOOKUP(4,$E$22:$K$30,2,FALSE)</f>
        <v>B</v>
      </c>
      <c r="I39" s="80" t="str">
        <f>HLOOKUP(5,$E$22:$K$30,2,FALSE)</f>
        <v>A</v>
      </c>
      <c r="J39" s="80" t="str">
        <f>HLOOKUP(6,$E$22:$K$30,2,FALSE)</f>
        <v>D</v>
      </c>
      <c r="K39" s="88" t="str">
        <f>HLOOKUP(7,$E$22:$K$30,2,FALSE)</f>
        <v>E</v>
      </c>
      <c r="L39" s="74"/>
    </row>
    <row r="40" spans="1:12">
      <c r="A40" s="26" t="s">
        <v>29</v>
      </c>
      <c r="B40" s="27"/>
      <c r="C40" s="27" t="s">
        <v>45</v>
      </c>
      <c r="D40" s="100"/>
      <c r="E40" s="95">
        <f>HLOOKUP(1,$E$22:$K$30,6,FALSE)</f>
        <v>500</v>
      </c>
      <c r="F40" s="44">
        <f>HLOOKUP(2,$E$22:$K$30,6,FALSE)</f>
        <v>450</v>
      </c>
      <c r="G40" s="44">
        <f>HLOOKUP(3,$E$22:$K$30,6,FALSE)</f>
        <v>70</v>
      </c>
      <c r="H40" s="44">
        <f>HLOOKUP(4,$E$22:$K$30,6,FALSE)</f>
        <v>430</v>
      </c>
      <c r="I40" s="44">
        <f>HLOOKUP(5,$E$22:$K$30,6,FALSE)</f>
        <v>150</v>
      </c>
      <c r="J40" s="44">
        <f>HLOOKUP(6,$E$22:$K$30,6,FALSE)</f>
        <v>600</v>
      </c>
      <c r="K40" s="89">
        <f>HLOOKUP(7,$E$22:$K$30,6,FALSE)</f>
        <v>300</v>
      </c>
      <c r="L40" s="74"/>
    </row>
    <row r="41" spans="1:12">
      <c r="A41" s="26" t="s">
        <v>4</v>
      </c>
      <c r="B41" s="27"/>
      <c r="C41" s="27" t="s">
        <v>44</v>
      </c>
      <c r="D41" s="100"/>
      <c r="E41" s="95">
        <f>HLOOKUP(1,$E$22:$K$30,9,FALSE)</f>
        <v>26</v>
      </c>
      <c r="F41" s="44">
        <f>HLOOKUP(2,$E$22:$K$30,9,FALSE)</f>
        <v>12</v>
      </c>
      <c r="G41" s="44">
        <f>HLOOKUP(3,$E$22:$K$30,9,FALSE)</f>
        <v>10</v>
      </c>
      <c r="H41" s="44">
        <f>HLOOKUP(4,$E$22:$K$30,9,FALSE)</f>
        <v>8</v>
      </c>
      <c r="I41" s="44">
        <f>HLOOKUP(5,$E$22:$K$30,9,FALSE)</f>
        <v>10</v>
      </c>
      <c r="J41" s="44">
        <f>HLOOKUP(6,$E$22:$K$30,9,FALSE)</f>
        <v>20</v>
      </c>
      <c r="K41" s="89">
        <f>HLOOKUP(7,$E$22:$K$30,9,FALSE)</f>
        <v>15</v>
      </c>
      <c r="L41" s="74"/>
    </row>
    <row r="42" spans="1:12">
      <c r="A42" s="26" t="s">
        <v>28</v>
      </c>
      <c r="B42" s="27"/>
      <c r="C42" s="27" t="s">
        <v>42</v>
      </c>
      <c r="D42" s="100"/>
      <c r="E42" s="148">
        <f>HLOOKUP(1,$E$22:$K$30,5,FALSE)</f>
        <v>72</v>
      </c>
      <c r="F42" s="149">
        <f>HLOOKUP(2,$E$22:$K$30,5,FALSE)</f>
        <v>45</v>
      </c>
      <c r="G42" s="149">
        <f>HLOOKUP(3,$E$22:$K$30,5,FALSE)</f>
        <v>32</v>
      </c>
      <c r="H42" s="149">
        <f>HLOOKUP(4,$E$22:$K$30,5,FALSE)</f>
        <v>30</v>
      </c>
      <c r="I42" s="149">
        <f>HLOOKUP(5,$E$22:$K$30,5,FALSE)</f>
        <v>26</v>
      </c>
      <c r="J42" s="149">
        <f>HLOOKUP(6,$E$22:$K$30,5,FALSE)</f>
        <v>23</v>
      </c>
      <c r="K42" s="150">
        <f>HLOOKUP(7,$E$22:$K$30,5,FALSE)</f>
        <v>7</v>
      </c>
      <c r="L42" s="74"/>
    </row>
    <row r="43" spans="1:12">
      <c r="A43" s="26" t="s">
        <v>30</v>
      </c>
      <c r="B43" s="27"/>
      <c r="C43" s="27" t="s">
        <v>41</v>
      </c>
      <c r="D43" s="100"/>
      <c r="E43" s="148">
        <f t="shared" ref="E43:K43" si="6">E40*E42</f>
        <v>36000</v>
      </c>
      <c r="F43" s="149">
        <f t="shared" si="6"/>
        <v>20250</v>
      </c>
      <c r="G43" s="149">
        <f t="shared" si="6"/>
        <v>2240</v>
      </c>
      <c r="H43" s="149">
        <f t="shared" si="6"/>
        <v>12900</v>
      </c>
      <c r="I43" s="149">
        <f t="shared" si="6"/>
        <v>3900</v>
      </c>
      <c r="J43" s="149">
        <f t="shared" si="6"/>
        <v>13800</v>
      </c>
      <c r="K43" s="150">
        <f t="shared" si="6"/>
        <v>2100</v>
      </c>
      <c r="L43" s="74"/>
    </row>
    <row r="44" spans="1:12">
      <c r="A44" s="26" t="s">
        <v>7</v>
      </c>
      <c r="B44" s="27"/>
      <c r="C44" s="27" t="s">
        <v>40</v>
      </c>
      <c r="D44" s="100"/>
      <c r="E44" s="95">
        <f t="shared" ref="E44:K44" si="7">E40*E41</f>
        <v>13000</v>
      </c>
      <c r="F44" s="44">
        <f t="shared" si="7"/>
        <v>5400</v>
      </c>
      <c r="G44" s="44">
        <f t="shared" si="7"/>
        <v>700</v>
      </c>
      <c r="H44" s="44">
        <f t="shared" si="7"/>
        <v>3440</v>
      </c>
      <c r="I44" s="44">
        <f t="shared" si="7"/>
        <v>1500</v>
      </c>
      <c r="J44" s="44">
        <f t="shared" si="7"/>
        <v>12000</v>
      </c>
      <c r="K44" s="89">
        <f t="shared" si="7"/>
        <v>4500</v>
      </c>
      <c r="L44" s="74"/>
    </row>
    <row r="45" spans="1:12">
      <c r="A45" s="26" t="s">
        <v>47</v>
      </c>
      <c r="B45" s="27"/>
      <c r="C45" s="27" t="s">
        <v>46</v>
      </c>
      <c r="D45" s="100"/>
      <c r="E45" s="95">
        <f>IF(E44&lt;=$E$18,E44,IF(NOT(E44&lt;=$E$18),$E$18))</f>
        <v>13000</v>
      </c>
      <c r="F45" s="44">
        <f>IF(E45+F44&lt;=$E$18,E45+F44,IF(NOT(E45+F44&lt;=$E$18),$E$18))</f>
        <v>18400</v>
      </c>
      <c r="G45" s="44">
        <f t="shared" ref="G45:K45" si="8">IF(F45+G44&lt;=$E$18,F45+G44,IF(NOT(F45+G44&lt;=$E$18),$E$18))</f>
        <v>19100</v>
      </c>
      <c r="H45" s="44">
        <f t="shared" si="8"/>
        <v>22540</v>
      </c>
      <c r="I45" s="44">
        <f t="shared" si="8"/>
        <v>24040</v>
      </c>
      <c r="J45" s="44">
        <f t="shared" si="8"/>
        <v>26000</v>
      </c>
      <c r="K45" s="89">
        <f t="shared" si="8"/>
        <v>26000</v>
      </c>
      <c r="L45" s="74"/>
    </row>
    <row r="46" spans="1:12">
      <c r="A46" s="26" t="s">
        <v>33</v>
      </c>
      <c r="B46" s="27"/>
      <c r="C46" s="27" t="s">
        <v>46</v>
      </c>
      <c r="D46" s="100"/>
      <c r="E46" s="95">
        <f>IF(E45&gt;=$E$18,0,$E$18-E45)</f>
        <v>13000</v>
      </c>
      <c r="F46" s="44">
        <f t="shared" ref="F46:K46" si="9">IF(F45&gt;=$E$18,0,$E$18-F45)</f>
        <v>7600</v>
      </c>
      <c r="G46" s="44">
        <f t="shared" si="9"/>
        <v>6900</v>
      </c>
      <c r="H46" s="44">
        <f t="shared" si="9"/>
        <v>3460</v>
      </c>
      <c r="I46" s="44">
        <f t="shared" si="9"/>
        <v>1960</v>
      </c>
      <c r="J46" s="44">
        <f t="shared" si="9"/>
        <v>0</v>
      </c>
      <c r="K46" s="89">
        <f t="shared" si="9"/>
        <v>0</v>
      </c>
      <c r="L46" s="74"/>
    </row>
    <row r="47" spans="1:12" ht="15.75" thickBot="1">
      <c r="A47" s="53" t="s">
        <v>34</v>
      </c>
      <c r="B47" s="54"/>
      <c r="C47" s="54" t="s">
        <v>45</v>
      </c>
      <c r="D47" s="101"/>
      <c r="E47" s="96">
        <f>IF($E$18&lt;E44,E45/E41,0)</f>
        <v>0</v>
      </c>
      <c r="F47" s="56" t="str">
        <f t="shared" ref="F47:K47" si="10">IF(F46=J46,E46/F41,"0")</f>
        <v>0</v>
      </c>
      <c r="G47" s="56" t="str">
        <f t="shared" si="10"/>
        <v>0</v>
      </c>
      <c r="H47" s="56" t="str">
        <f t="shared" si="10"/>
        <v>0</v>
      </c>
      <c r="I47" s="56" t="str">
        <f t="shared" si="10"/>
        <v>0</v>
      </c>
      <c r="J47" s="56">
        <f t="shared" si="10"/>
        <v>98</v>
      </c>
      <c r="K47" s="90">
        <f t="shared" si="10"/>
        <v>0</v>
      </c>
      <c r="L47" s="74"/>
    </row>
    <row r="48" spans="1:12">
      <c r="A48" s="130" t="s">
        <v>37</v>
      </c>
      <c r="B48" s="133"/>
      <c r="C48" s="133" t="s">
        <v>45</v>
      </c>
      <c r="D48" s="135"/>
      <c r="E48" s="97">
        <f t="shared" ref="E48:K48" si="11">IF(AND(E46=0,E47=0),0,IF(E46&lt;=0,SUM($E$47:$K$47),E40))</f>
        <v>500</v>
      </c>
      <c r="F48" s="55">
        <f t="shared" si="11"/>
        <v>450</v>
      </c>
      <c r="G48" s="55">
        <f t="shared" si="11"/>
        <v>70</v>
      </c>
      <c r="H48" s="55">
        <f t="shared" si="11"/>
        <v>430</v>
      </c>
      <c r="I48" s="55">
        <f t="shared" si="11"/>
        <v>150</v>
      </c>
      <c r="J48" s="55">
        <f t="shared" si="11"/>
        <v>98</v>
      </c>
      <c r="K48" s="91">
        <f t="shared" si="11"/>
        <v>0</v>
      </c>
      <c r="L48" s="74"/>
    </row>
    <row r="49" spans="1:12" ht="15.75" thickBot="1">
      <c r="A49" s="136" t="s">
        <v>38</v>
      </c>
      <c r="B49" s="132"/>
      <c r="C49" s="132"/>
      <c r="D49" s="134"/>
      <c r="E49" s="98">
        <f>HLOOKUP(1,$E$32:$K$33,2,FALSE)</f>
        <v>1</v>
      </c>
      <c r="F49" s="92">
        <f>HLOOKUP(2,$E$32:$K$33,2,FALSE)</f>
        <v>2</v>
      </c>
      <c r="G49" s="92">
        <f>HLOOKUP(3,$E$32:$K$33,2,FALSE)</f>
        <v>3</v>
      </c>
      <c r="H49" s="92">
        <f>HLOOKUP(4,$E$32:$K$33,2,FALSE)</f>
        <v>4</v>
      </c>
      <c r="I49" s="92">
        <f>HLOOKUP(5,$E$32:$K$33,2,FALSE)</f>
        <v>5</v>
      </c>
      <c r="J49" s="92">
        <f>HLOOKUP(6,$E$32:$K$33,2,FALSE)</f>
        <v>6</v>
      </c>
      <c r="K49" s="93">
        <f>HLOOKUP(7,$E$32:$K$33,2,FALSE)</f>
        <v>7</v>
      </c>
      <c r="L49" s="74"/>
    </row>
    <row r="50" spans="1:12">
      <c r="A50" s="65"/>
      <c r="B50" s="67"/>
      <c r="C50" s="33"/>
      <c r="D50" s="33"/>
      <c r="E50" s="33"/>
      <c r="F50" s="33"/>
      <c r="G50" s="33"/>
      <c r="H50" s="33"/>
      <c r="I50" s="33"/>
      <c r="J50" s="33"/>
      <c r="K50" s="33"/>
      <c r="L50" s="74"/>
    </row>
    <row r="51" spans="1:12">
      <c r="A51" s="8"/>
      <c r="B51" s="6"/>
      <c r="C51" s="6"/>
      <c r="D51" s="6"/>
      <c r="E51" s="33"/>
      <c r="F51" s="33"/>
      <c r="G51" s="33"/>
      <c r="H51" s="33"/>
      <c r="I51" s="33"/>
      <c r="J51" s="33"/>
      <c r="K51" s="33"/>
      <c r="L51" s="74"/>
    </row>
    <row r="52" spans="1:12">
      <c r="A52" s="8"/>
      <c r="B52" s="6"/>
      <c r="C52" s="6"/>
      <c r="D52" s="6"/>
      <c r="E52" s="33"/>
      <c r="F52" s="6"/>
      <c r="G52" s="6"/>
      <c r="H52" s="6"/>
      <c r="I52" s="6"/>
      <c r="J52" s="6"/>
      <c r="K52" s="6"/>
      <c r="L52" s="74"/>
    </row>
    <row r="53" spans="1:12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74"/>
    </row>
    <row r="54" spans="1:12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74"/>
    </row>
    <row r="55" spans="1:12" ht="15.75" thickBot="1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74"/>
    </row>
    <row r="56" spans="1:12" ht="15.75" thickBot="1">
      <c r="A56" s="119" t="s">
        <v>48</v>
      </c>
      <c r="B56" s="59"/>
      <c r="C56" s="59"/>
      <c r="D56" s="59"/>
      <c r="E56" s="131" t="s">
        <v>41</v>
      </c>
      <c r="F56" s="151">
        <f>E48*E42+F48*F42+G48*G42+H48*H42+I48*I42+J48*J42+K48*K42</f>
        <v>77544</v>
      </c>
      <c r="G56" s="6"/>
      <c r="H56" s="6"/>
      <c r="I56" s="6"/>
      <c r="J56" s="6"/>
      <c r="K56" s="6"/>
      <c r="L56" s="74"/>
    </row>
    <row r="57" spans="1:12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74"/>
    </row>
    <row r="58" spans="1:12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74"/>
    </row>
    <row r="59" spans="1:12" ht="15.75" thickBot="1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74"/>
    </row>
    <row r="60" spans="1:12">
      <c r="A60" s="130" t="s">
        <v>49</v>
      </c>
      <c r="B60" s="60"/>
      <c r="C60" s="60"/>
      <c r="D60" s="60"/>
      <c r="E60" s="60"/>
      <c r="F60" s="60"/>
      <c r="G60" s="60"/>
      <c r="H60" s="60"/>
      <c r="I60" s="120"/>
      <c r="J60" s="6"/>
      <c r="K60" s="6"/>
      <c r="L60" s="74"/>
    </row>
    <row r="61" spans="1:12" ht="15.75" thickBot="1">
      <c r="A61" s="129"/>
      <c r="B61" s="124"/>
      <c r="C61" s="124"/>
      <c r="D61" s="124"/>
      <c r="E61" s="124"/>
      <c r="F61" s="124"/>
      <c r="G61" s="124"/>
      <c r="H61" s="124"/>
      <c r="I61" s="125"/>
      <c r="J61" s="6"/>
      <c r="K61" s="6"/>
      <c r="L61" s="74"/>
    </row>
    <row r="62" spans="1:12">
      <c r="A62" s="57"/>
      <c r="B62" s="68"/>
      <c r="C62" s="68"/>
      <c r="D62" s="68"/>
      <c r="E62" s="68"/>
      <c r="F62" s="68"/>
      <c r="G62" s="68"/>
      <c r="H62" s="68"/>
      <c r="I62" s="121"/>
      <c r="J62" s="6"/>
      <c r="K62" s="6"/>
      <c r="L62" s="74"/>
    </row>
    <row r="63" spans="1:12">
      <c r="A63" s="26" t="s">
        <v>52</v>
      </c>
      <c r="B63" s="27"/>
      <c r="C63" s="27"/>
      <c r="D63" s="69" t="s">
        <v>50</v>
      </c>
      <c r="E63" s="27" t="s">
        <v>53</v>
      </c>
      <c r="F63" s="27"/>
      <c r="G63" s="70" t="s">
        <v>51</v>
      </c>
      <c r="H63" s="61" t="s">
        <v>54</v>
      </c>
      <c r="I63" s="100"/>
      <c r="J63" s="6"/>
      <c r="K63" s="6"/>
      <c r="L63" s="74"/>
    </row>
    <row r="64" spans="1:12">
      <c r="A64" s="57"/>
      <c r="B64" s="68"/>
      <c r="C64" s="68"/>
      <c r="D64" s="68"/>
      <c r="E64" s="68"/>
      <c r="F64" s="68"/>
      <c r="G64" s="68"/>
      <c r="H64" s="58"/>
      <c r="I64" s="121"/>
      <c r="J64" s="6"/>
      <c r="K64" s="6"/>
      <c r="L64" s="74"/>
    </row>
    <row r="65" spans="1:12" ht="15.75" thickBot="1">
      <c r="A65" s="57"/>
      <c r="B65" s="152">
        <f>F56</f>
        <v>77544</v>
      </c>
      <c r="C65" s="71"/>
      <c r="D65" s="71" t="s">
        <v>50</v>
      </c>
      <c r="E65" s="152">
        <f>E19</f>
        <v>50000</v>
      </c>
      <c r="F65" s="71"/>
      <c r="G65" s="71" t="s">
        <v>51</v>
      </c>
      <c r="H65" s="153">
        <f>B65-E65</f>
        <v>27544</v>
      </c>
      <c r="I65" s="122"/>
      <c r="J65" s="6"/>
      <c r="K65" s="6"/>
      <c r="L65" s="74"/>
    </row>
    <row r="66" spans="1:12" ht="15.75" thickBot="1">
      <c r="A66" s="123"/>
      <c r="B66" s="124"/>
      <c r="C66" s="124"/>
      <c r="D66" s="124"/>
      <c r="E66" s="124"/>
      <c r="F66" s="124"/>
      <c r="G66" s="124"/>
      <c r="H66" s="124"/>
      <c r="I66" s="125"/>
      <c r="J66" s="6"/>
      <c r="K66" s="6"/>
      <c r="L66" s="74"/>
    </row>
    <row r="67" spans="1:12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74"/>
    </row>
    <row r="68" spans="1:12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74"/>
    </row>
    <row r="69" spans="1:12" ht="15.75" thickBot="1">
      <c r="A69" s="73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5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Tabelle1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Thoerner, Till</dc:creator>
  <cp:lastModifiedBy>Thoerner, Till</cp:lastModifiedBy>
  <dcterms:created xsi:type="dcterms:W3CDTF">2013-05-30T14:57:07Z</dcterms:created>
  <dcterms:modified xsi:type="dcterms:W3CDTF">2013-06-07T00:39:04Z</dcterms:modified>
</cp:coreProperties>
</file>